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E\DBP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Data!$A$1:$FS$5149</definedName>
    <definedName name="Bid">Lookups!$D$8</definedName>
    <definedName name="Called">Lookups!$S$40</definedName>
    <definedName name="_xlnm.Criteria">Lookups!$B$3:$F$4</definedName>
    <definedName name="data">Data!$A$1:$FS$10000</definedName>
    <definedName name="date">Table!$B$5</definedName>
    <definedName name="date_list">Lookups!$K$4:$K$16</definedName>
    <definedName name="dual_enrol_list">Lookups!$O$4:$O$6</definedName>
    <definedName name="Enrolled">Lookups!$D$6</definedName>
    <definedName name="ind_list">Lookups!$L$4:$L$12</definedName>
    <definedName name="lca">Table!$B$8</definedName>
    <definedName name="lca_list">Lookups!$M$4:$M$12</definedName>
    <definedName name="_xlnm.Print_Area" localSheetId="0">Table!$A$2:$N$36</definedName>
    <definedName name="Result_type">Table!$B$4</definedName>
    <definedName name="Result_type_list">Lookups!$J$4:$J$5</definedName>
    <definedName name="Size">Table!$B$9</definedName>
    <definedName name="Size_list">Lookups!$N$4:$N$7</definedName>
    <definedName name="table_for_PGE_CBP_expost_private" localSheetId="2">Data!$A$1:$FS$2773</definedName>
    <definedName name="Two_way_tab_flag">Lookups!$D$7</definedName>
  </definedNames>
  <calcPr calcId="152511"/>
</workbook>
</file>

<file path=xl/calcChain.xml><?xml version="1.0" encoding="utf-8"?>
<calcChain xmlns="http://schemas.openxmlformats.org/spreadsheetml/2006/main">
  <c r="S18" i="2" l="1"/>
  <c r="S40" i="2" l="1"/>
  <c r="S19" i="2" l="1"/>
  <c r="J3" i="4" l="1"/>
  <c r="F23" i="2"/>
  <c r="F22" i="2"/>
  <c r="F21" i="2"/>
  <c r="F20" i="2"/>
  <c r="F19" i="2"/>
  <c r="F18" i="2"/>
  <c r="H32" i="4" l="1"/>
  <c r="G32" i="4"/>
  <c r="G5" i="4"/>
  <c r="D7" i="2" l="1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32" i="2"/>
  <c r="F17" i="2" l="1"/>
  <c r="F16" i="2"/>
  <c r="F15" i="2"/>
  <c r="F14" i="2"/>
  <c r="F13" i="2"/>
  <c r="F12" i="2"/>
  <c r="F11" i="2"/>
  <c r="F32" i="4"/>
  <c r="G32" i="2" l="1"/>
  <c r="A33" i="2"/>
  <c r="E4" i="2"/>
  <c r="D4" i="2"/>
  <c r="B4" i="2"/>
  <c r="A1" i="4" s="1"/>
  <c r="J32" i="4"/>
  <c r="J6" i="4"/>
  <c r="H5" i="4"/>
  <c r="F5" i="4"/>
  <c r="D8" i="2" l="1"/>
  <c r="G3" i="4"/>
  <c r="D6" i="2"/>
  <c r="G2" i="4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N31" i="4" l="1"/>
  <c r="H31" i="4"/>
  <c r="K30" i="4"/>
  <c r="N29" i="4"/>
  <c r="K28" i="4"/>
  <c r="N27" i="4"/>
  <c r="K26" i="4"/>
  <c r="H25" i="4"/>
  <c r="L25" i="4" s="1"/>
  <c r="N23" i="4"/>
  <c r="K22" i="4"/>
  <c r="H21" i="4"/>
  <c r="N19" i="4"/>
  <c r="K18" i="4"/>
  <c r="H17" i="4"/>
  <c r="H15" i="4"/>
  <c r="N13" i="4"/>
  <c r="N11" i="4"/>
  <c r="K10" i="4"/>
  <c r="H9" i="4"/>
  <c r="L9" i="4" s="1"/>
  <c r="M31" i="4"/>
  <c r="F31" i="4"/>
  <c r="J30" i="4"/>
  <c r="M29" i="4"/>
  <c r="F29" i="4"/>
  <c r="J28" i="4"/>
  <c r="M27" i="4"/>
  <c r="F27" i="4"/>
  <c r="J26" i="4"/>
  <c r="M25" i="4"/>
  <c r="F25" i="4"/>
  <c r="G25" i="4" s="1"/>
  <c r="J24" i="4"/>
  <c r="M23" i="4"/>
  <c r="F23" i="4"/>
  <c r="J22" i="4"/>
  <c r="M21" i="4"/>
  <c r="F21" i="4"/>
  <c r="J20" i="4"/>
  <c r="M19" i="4"/>
  <c r="F19" i="4"/>
  <c r="J18" i="4"/>
  <c r="M17" i="4"/>
  <c r="F17" i="4"/>
  <c r="G17" i="4" s="1"/>
  <c r="J16" i="4"/>
  <c r="M15" i="4"/>
  <c r="F15" i="4"/>
  <c r="J14" i="4"/>
  <c r="M13" i="4"/>
  <c r="F13" i="4"/>
  <c r="J12" i="4"/>
  <c r="M11" i="4"/>
  <c r="F11" i="4"/>
  <c r="J10" i="4"/>
  <c r="M9" i="4"/>
  <c r="F9" i="4"/>
  <c r="J8" i="4"/>
  <c r="K31" i="4"/>
  <c r="N30" i="4"/>
  <c r="H30" i="4"/>
  <c r="L30" i="4" s="1"/>
  <c r="K29" i="4"/>
  <c r="N28" i="4"/>
  <c r="H28" i="4"/>
  <c r="K27" i="4"/>
  <c r="N26" i="4"/>
  <c r="H26" i="4"/>
  <c r="L26" i="4" s="1"/>
  <c r="K25" i="4"/>
  <c r="N24" i="4"/>
  <c r="H24" i="4"/>
  <c r="K23" i="4"/>
  <c r="N22" i="4"/>
  <c r="H22" i="4"/>
  <c r="K21" i="4"/>
  <c r="N20" i="4"/>
  <c r="H20" i="4"/>
  <c r="K19" i="4"/>
  <c r="H18" i="4"/>
  <c r="L18" i="4" s="1"/>
  <c r="N16" i="4"/>
  <c r="K15" i="4"/>
  <c r="H14" i="4"/>
  <c r="N12" i="4"/>
  <c r="K11" i="4"/>
  <c r="H10" i="4"/>
  <c r="N8" i="4"/>
  <c r="J31" i="4"/>
  <c r="M30" i="4"/>
  <c r="F30" i="4"/>
  <c r="J29" i="4"/>
  <c r="M28" i="4"/>
  <c r="F28" i="4"/>
  <c r="J27" i="4"/>
  <c r="M26" i="4"/>
  <c r="F26" i="4"/>
  <c r="G26" i="4" s="1"/>
  <c r="J25" i="4"/>
  <c r="M24" i="4"/>
  <c r="F24" i="4"/>
  <c r="J23" i="4"/>
  <c r="M22" i="4"/>
  <c r="F22" i="4"/>
  <c r="J21" i="4"/>
  <c r="M20" i="4"/>
  <c r="F20" i="4"/>
  <c r="J19" i="4"/>
  <c r="M18" i="4"/>
  <c r="F18" i="4"/>
  <c r="J17" i="4"/>
  <c r="M16" i="4"/>
  <c r="F16" i="4"/>
  <c r="J15" i="4"/>
  <c r="M14" i="4"/>
  <c r="F14" i="4"/>
  <c r="J13" i="4"/>
  <c r="M12" i="4"/>
  <c r="F12" i="4"/>
  <c r="J11" i="4"/>
  <c r="M10" i="4"/>
  <c r="F10" i="4"/>
  <c r="G10" i="4" s="1"/>
  <c r="J9" i="4"/>
  <c r="M8" i="4"/>
  <c r="F8" i="4"/>
  <c r="H29" i="4"/>
  <c r="G29" i="4" s="1"/>
  <c r="H27" i="4"/>
  <c r="G27" i="4" s="1"/>
  <c r="N25" i="4"/>
  <c r="K24" i="4"/>
  <c r="H23" i="4"/>
  <c r="G23" i="4" s="1"/>
  <c r="N21" i="4"/>
  <c r="K20" i="4"/>
  <c r="H19" i="4"/>
  <c r="L19" i="4" s="1"/>
  <c r="N17" i="4"/>
  <c r="K16" i="4"/>
  <c r="N15" i="4"/>
  <c r="K14" i="4"/>
  <c r="H13" i="4"/>
  <c r="G13" i="4" s="1"/>
  <c r="K12" i="4"/>
  <c r="H11" i="4"/>
  <c r="L11" i="4" s="1"/>
  <c r="N9" i="4"/>
  <c r="K8" i="4"/>
  <c r="N18" i="4"/>
  <c r="K17" i="4"/>
  <c r="H16" i="4"/>
  <c r="L16" i="4" s="1"/>
  <c r="N14" i="4"/>
  <c r="K13" i="4"/>
  <c r="H12" i="4"/>
  <c r="G12" i="4" s="1"/>
  <c r="N10" i="4"/>
  <c r="K9" i="4"/>
  <c r="H8" i="4"/>
  <c r="I28" i="4"/>
  <c r="B52" i="2" s="1"/>
  <c r="I26" i="4"/>
  <c r="B50" i="2" s="1"/>
  <c r="I19" i="4"/>
  <c r="B43" i="2" s="1"/>
  <c r="I17" i="4"/>
  <c r="I12" i="4"/>
  <c r="I10" i="4"/>
  <c r="B34" i="2" s="1"/>
  <c r="I30" i="4"/>
  <c r="B54" i="2" s="1"/>
  <c r="G28" i="4"/>
  <c r="I23" i="4"/>
  <c r="B47" i="2" s="1"/>
  <c r="I21" i="4"/>
  <c r="B45" i="2" s="1"/>
  <c r="I16" i="4"/>
  <c r="B40" i="2" s="1"/>
  <c r="I14" i="4"/>
  <c r="G30" i="4"/>
  <c r="I27" i="4"/>
  <c r="I25" i="4"/>
  <c r="B49" i="2" s="1"/>
  <c r="I20" i="4"/>
  <c r="B44" i="2" s="1"/>
  <c r="I18" i="4"/>
  <c r="B42" i="2" s="1"/>
  <c r="I11" i="4"/>
  <c r="B35" i="2" s="1"/>
  <c r="I9" i="4"/>
  <c r="B33" i="2" s="1"/>
  <c r="I31" i="4"/>
  <c r="B55" i="2" s="1"/>
  <c r="I29" i="4"/>
  <c r="I24" i="4"/>
  <c r="I22" i="4"/>
  <c r="G20" i="4"/>
  <c r="G18" i="4"/>
  <c r="I15" i="4"/>
  <c r="B39" i="2" s="1"/>
  <c r="I13" i="4"/>
  <c r="B37" i="2" s="1"/>
  <c r="I8" i="4"/>
  <c r="B32" i="2" s="1"/>
  <c r="L31" i="4"/>
  <c r="B48" i="2"/>
  <c r="L17" i="4"/>
  <c r="L10" i="4"/>
  <c r="B36" i="2"/>
  <c r="B46" i="2"/>
  <c r="B38" i="2"/>
  <c r="B53" i="2"/>
  <c r="L28" i="4"/>
  <c r="B41" i="2"/>
  <c r="B51" i="2"/>
  <c r="A35" i="2"/>
  <c r="L27" i="4" l="1"/>
  <c r="G11" i="4"/>
  <c r="G15" i="4"/>
  <c r="G21" i="4"/>
  <c r="L23" i="4"/>
  <c r="L15" i="4"/>
  <c r="L13" i="4"/>
  <c r="L21" i="4"/>
  <c r="F34" i="4"/>
  <c r="G16" i="4"/>
  <c r="G24" i="4"/>
  <c r="H34" i="4"/>
  <c r="G22" i="4"/>
  <c r="G9" i="4"/>
  <c r="G31" i="4"/>
  <c r="L22" i="4"/>
  <c r="G8" i="4"/>
  <c r="L14" i="4"/>
  <c r="G14" i="4"/>
  <c r="G19" i="4"/>
  <c r="I34" i="4"/>
  <c r="L29" i="4"/>
  <c r="L20" i="4"/>
  <c r="L12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G34" i="4" l="1"/>
  <c r="M35" i="2"/>
  <c r="G35" i="2"/>
  <c r="L35" i="2"/>
  <c r="E35" i="2"/>
  <c r="H35" i="2"/>
  <c r="I35" i="2"/>
  <c r="J35" i="2"/>
  <c r="F35" i="2"/>
  <c r="D35" i="2"/>
  <c r="K35" i="2"/>
  <c r="A37" i="2"/>
  <c r="M36" i="2" l="1"/>
  <c r="G36" i="2"/>
  <c r="L36" i="2"/>
  <c r="E36" i="2"/>
  <c r="H36" i="2"/>
  <c r="D36" i="2"/>
  <c r="I36" i="2"/>
  <c r="J36" i="2"/>
  <c r="K36" i="2"/>
  <c r="F36" i="2"/>
  <c r="A38" i="2"/>
  <c r="M37" i="2" l="1"/>
  <c r="G37" i="2"/>
  <c r="L37" i="2"/>
  <c r="E37" i="2"/>
  <c r="H37" i="2"/>
  <c r="I37" i="2"/>
  <c r="D37" i="2"/>
  <c r="J37" i="2"/>
  <c r="K37" i="2"/>
  <c r="F37" i="2"/>
  <c r="A39" i="2"/>
  <c r="M38" i="2" l="1"/>
  <c r="G38" i="2"/>
  <c r="L38" i="2"/>
  <c r="E38" i="2"/>
  <c r="H38" i="2"/>
  <c r="I38" i="2"/>
  <c r="J38" i="2"/>
  <c r="D38" i="2"/>
  <c r="F38" i="2"/>
  <c r="K38" i="2"/>
  <c r="A40" i="2"/>
  <c r="M39" i="2" l="1"/>
  <c r="G39" i="2"/>
  <c r="L39" i="2"/>
  <c r="H39" i="2"/>
  <c r="I39" i="2"/>
  <c r="J39" i="2"/>
  <c r="K39" i="2"/>
  <c r="E39" i="2"/>
  <c r="D39" i="2"/>
  <c r="F39" i="2"/>
  <c r="A41" i="2"/>
  <c r="M40" i="2" l="1"/>
  <c r="G40" i="2"/>
  <c r="L40" i="2"/>
  <c r="D40" i="2"/>
  <c r="H40" i="2"/>
  <c r="I40" i="2"/>
  <c r="J40" i="2"/>
  <c r="E40" i="2"/>
  <c r="F40" i="2"/>
  <c r="K40" i="2"/>
  <c r="A42" i="2"/>
  <c r="M41" i="2" l="1"/>
  <c r="G41" i="2"/>
  <c r="L41" i="2"/>
  <c r="H41" i="2"/>
  <c r="I41" i="2"/>
  <c r="J41" i="2"/>
  <c r="K41" i="2"/>
  <c r="D41" i="2"/>
  <c r="E41" i="2"/>
  <c r="F41" i="2"/>
  <c r="A43" i="2"/>
  <c r="G42" i="2" l="1"/>
  <c r="M42" i="2"/>
  <c r="L42" i="2"/>
  <c r="H42" i="2"/>
  <c r="I42" i="2"/>
  <c r="J42" i="2"/>
  <c r="E42" i="2"/>
  <c r="D42" i="2"/>
  <c r="F42" i="2"/>
  <c r="K42" i="2"/>
  <c r="A44" i="2"/>
  <c r="M43" i="2" l="1"/>
  <c r="G43" i="2"/>
  <c r="L43" i="2"/>
  <c r="H43" i="2"/>
  <c r="I43" i="2"/>
  <c r="J43" i="2"/>
  <c r="K43" i="2"/>
  <c r="D43" i="2"/>
  <c r="E43" i="2"/>
  <c r="F43" i="2"/>
  <c r="A45" i="2"/>
  <c r="M44" i="2" l="1"/>
  <c r="G44" i="2"/>
  <c r="L44" i="2"/>
  <c r="H44" i="2"/>
  <c r="D44" i="2"/>
  <c r="I44" i="2"/>
  <c r="J44" i="2"/>
  <c r="E44" i="2"/>
  <c r="F44" i="2"/>
  <c r="K44" i="2"/>
  <c r="A46" i="2"/>
  <c r="M45" i="2" l="1"/>
  <c r="G45" i="2"/>
  <c r="L45" i="2"/>
  <c r="H45" i="2"/>
  <c r="I45" i="2"/>
  <c r="D45" i="2"/>
  <c r="J45" i="2"/>
  <c r="K45" i="2"/>
  <c r="E45" i="2"/>
  <c r="F45" i="2"/>
  <c r="A47" i="2"/>
  <c r="M46" i="2" l="1"/>
  <c r="G46" i="2"/>
  <c r="L46" i="2"/>
  <c r="H46" i="2"/>
  <c r="I46" i="2"/>
  <c r="J46" i="2"/>
  <c r="E46" i="2"/>
  <c r="F46" i="2"/>
  <c r="D46" i="2"/>
  <c r="K46" i="2"/>
  <c r="A48" i="2"/>
  <c r="M47" i="2" l="1"/>
  <c r="G47" i="2"/>
  <c r="L47" i="2"/>
  <c r="H47" i="2"/>
  <c r="I47" i="2"/>
  <c r="J47" i="2"/>
  <c r="K47" i="2"/>
  <c r="D47" i="2"/>
  <c r="E47" i="2"/>
  <c r="F47" i="2"/>
  <c r="A49" i="2"/>
  <c r="M48" i="2" l="1"/>
  <c r="G48" i="2"/>
  <c r="L48" i="2"/>
  <c r="D48" i="2"/>
  <c r="H48" i="2"/>
  <c r="I48" i="2"/>
  <c r="J48" i="2"/>
  <c r="E48" i="2"/>
  <c r="F48" i="2"/>
  <c r="K48" i="2"/>
  <c r="A50" i="2"/>
  <c r="M49" i="2" l="1"/>
  <c r="G49" i="2"/>
  <c r="L49" i="2"/>
  <c r="H49" i="2"/>
  <c r="I49" i="2"/>
  <c r="J49" i="2"/>
  <c r="K49" i="2"/>
  <c r="E49" i="2"/>
  <c r="F49" i="2"/>
  <c r="D49" i="2"/>
  <c r="A51" i="2"/>
  <c r="G50" i="2" l="1"/>
  <c r="M50" i="2"/>
  <c r="L50" i="2"/>
  <c r="H50" i="2"/>
  <c r="I50" i="2"/>
  <c r="J50" i="2"/>
  <c r="E50" i="2"/>
  <c r="F50" i="2"/>
  <c r="K50" i="2"/>
  <c r="D50" i="2"/>
  <c r="A52" i="2"/>
  <c r="M51" i="2" l="1"/>
  <c r="G51" i="2"/>
  <c r="L51" i="2"/>
  <c r="H51" i="2"/>
  <c r="I51" i="2"/>
  <c r="J51" i="2"/>
  <c r="K51" i="2"/>
  <c r="E51" i="2"/>
  <c r="F51" i="2"/>
  <c r="D51" i="2"/>
  <c r="A53" i="2"/>
  <c r="M52" i="2" l="1"/>
  <c r="G52" i="2"/>
  <c r="L52" i="2"/>
  <c r="H52" i="2"/>
  <c r="D52" i="2"/>
  <c r="I52" i="2"/>
  <c r="J52" i="2"/>
  <c r="E52" i="2"/>
  <c r="F52" i="2"/>
  <c r="K52" i="2"/>
  <c r="A54" i="2"/>
  <c r="M53" i="2" l="1"/>
  <c r="G53" i="2"/>
  <c r="L53" i="2"/>
  <c r="H53" i="2"/>
  <c r="I53" i="2"/>
  <c r="D53" i="2"/>
  <c r="J53" i="2"/>
  <c r="K53" i="2"/>
  <c r="E53" i="2"/>
  <c r="F53" i="2"/>
  <c r="A55" i="2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H56" i="2" s="1"/>
  <c r="I55" i="2"/>
  <c r="I56" i="2" s="1"/>
  <c r="J55" i="2"/>
  <c r="D55" i="2"/>
  <c r="K55" i="2"/>
  <c r="E55" i="2"/>
  <c r="F55" i="2"/>
  <c r="K56" i="2" l="1"/>
  <c r="J56" i="2"/>
  <c r="G56" i="2"/>
  <c r="I35" i="4" s="1"/>
  <c r="F56" i="2"/>
  <c r="H35" i="4" s="1"/>
  <c r="E56" i="2"/>
  <c r="G35" i="4" s="1"/>
  <c r="D56" i="2"/>
  <c r="F35" i="4" s="1"/>
  <c r="M56" i="2"/>
  <c r="V22" i="2" l="1"/>
  <c r="R22" i="2"/>
  <c r="U22" i="2"/>
  <c r="T22" i="2"/>
  <c r="S22" i="2"/>
  <c r="H36" i="4"/>
  <c r="N35" i="4"/>
  <c r="J35" i="4"/>
  <c r="M35" i="4"/>
  <c r="K35" i="4"/>
  <c r="L35" i="4"/>
</calcChain>
</file>

<file path=xl/connections.xml><?xml version="1.0" encoding="utf-8"?>
<connections xmlns="http://schemas.openxmlformats.org/spreadsheetml/2006/main">
  <connection id="1" name="table_for_PGE CBP_expost_private" type="6" refreshedVersion="5" deleted="1" background="1" saveData="1">
    <textPr codePage="437" sourceFile="P:\SCE\DBP 2013\Models\PGE\table_for_PGE DBP_expost_private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<sst xmlns="http://schemas.openxmlformats.org/spreadsheetml/2006/main" count="1248" uniqueCount="258">
  <si>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</si>
  <si>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</si>
  <si>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</si>
  <si>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</si>
  <si>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</si>
  <si>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</si>
  <si>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</si>
  <si>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</si>
  <si>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</si>
  <si>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</si>
  <si>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</si>
  <si>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</si>
  <si>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</si>
  <si>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</si>
  <si>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</si>
  <si>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</si>
  <si>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</si>
  <si>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</si>
  <si>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</si>
  <si>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</si>
  <si>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</si>
  <si>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</si>
  <si>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</si>
  <si>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</si>
  <si>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</si>
  <si>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</si>
  <si>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</si>
  <si>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</si>
  <si>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</si>
  <si>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</si>
  <si>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</si>
  <si>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</si>
  <si>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</si>
  <si>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</si>
  <si>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</si>
  <si>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</si>
  <si>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</si>
  <si>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</si>
  <si>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</si>
  <si>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</si>
  <si>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</si>
  <si>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</si>
  <si>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</si>
  <si>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</si>
  <si>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</si>
  <si>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</si>
  <si>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</si>
  <si>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</si>
  <si>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</si>
  <si>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</si>
  <si>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</si>
  <si>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</si>
  <si>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</si>
  <si>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</si>
  <si>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</si>
  <si>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</si>
  <si>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</si>
  <si>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</si>
  <si>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</si>
  <si>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</si>
  <si>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</si>
  <si>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</si>
  <si>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</si>
  <si>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</si>
  <si>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</si>
  <si>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</si>
  <si>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</si>
  <si>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</si>
  <si>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</si>
  <si>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</si>
  <si>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</si>
  <si>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</si>
  <si>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</si>
  <si>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</si>
  <si>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</si>
  <si>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</si>
  <si>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</si>
  <si>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</si>
  <si>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</si>
  <si>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</si>
  <si>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</si>
  <si>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</si>
  <si>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</si>
  <si>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</si>
  <si>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</si>
  <si>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</si>
  <si>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</si>
  <si>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</si>
  <si>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</si>
  <si>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</si>
  <si>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</si>
  <si>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</si>
  <si>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</si>
  <si>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</si>
  <si>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</si>
  <si>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</si>
  <si>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</si>
  <si>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</si>
  <si>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</si>
  <si>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</si>
  <si>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</si>
  <si>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</si>
  <si>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</si>
  <si>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</si>
  <si>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</si>
  <si>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</si>
  <si>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</si>
  <si>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</si>
  <si>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</si>
  <si>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</si>
  <si>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</si>
  <si>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</si>
  <si>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</si>
  <si>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</si>
  <si>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</si>
  <si>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</si>
  <si>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</si>
  <si>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</si>
  <si>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</si>
  <si>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</si>
  <si>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</si>
  <si>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</si>
  <si>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</si>
  <si>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</si>
  <si>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</si>
  <si>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</si>
  <si>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</si>
  <si>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</si>
  <si>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</si>
  <si>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</si>
  <si>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</si>
  <si>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</si>
  <si>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</si>
  <si>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</si>
  <si>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</si>
  <si>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</si>
  <si>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</si>
  <si>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</si>
  <si>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</si>
  <si>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</si>
  <si>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</si>
  <si>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</si>
  <si>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</si>
  <si>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</si>
  <si>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</si>
  <si>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</si>
  <si>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</si>
  <si>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</si>
  <si>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</si>
  <si>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</si>
  <si>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</si>
  <si>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</si>
  <si>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</si>
  <si>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</si>
  <si>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</si>
  <si>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</si>
  <si>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</si>
  <si>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</si>
  <si>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</si>
  <si>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</si>
  <si>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</si>
  <si>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</si>
  <si>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</si>
  <si>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</si>
  <si>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</si>
  <si>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</si>
  <si>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</si>
  <si>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</si>
  <si>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</si>
  <si>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</si>
  <si>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</si>
  <si>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</si>
  <si>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</si>
  <si>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</si>
  <si>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</si>
  <si>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</si>
  <si>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</si>
  <si>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</si>
  <si>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</si>
  <si>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</si>
  <si>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</si>
  <si>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</si>
  <si>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</si>
  <si>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</si>
  <si>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</si>
  <si>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</si>
  <si>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</si>
  <si>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</si>
  <si>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</si>
  <si>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</si>
  <si>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</si>
  <si>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</si>
  <si>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</si>
  <si>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</si>
  <si>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</si>
  <si>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</si>
  <si>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</si>
  <si>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</si>
  <si>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</si>
  <si>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</si>
  <si>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</si>
  <si>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</si>
  <si>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</si>
  <si>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Below 20 kW</t>
  </si>
  <si>
    <t>200 kW and above</t>
  </si>
  <si>
    <t>Size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</si>
  <si>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</si>
  <si>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</si>
  <si>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</si>
  <si>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</si>
  <si>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</si>
  <si>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</si>
  <si>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Other or unknown</t>
  </si>
  <si>
    <t>Retail stores</t>
  </si>
  <si>
    <t>Schools</t>
  </si>
  <si>
    <t>Wholesale, Transport, other utilities</t>
  </si>
  <si>
    <t>lca</t>
  </si>
  <si>
    <t>size</t>
  </si>
  <si>
    <t>No</t>
  </si>
  <si>
    <t>Yes</t>
  </si>
  <si>
    <t>date</t>
  </si>
  <si>
    <t>Date</t>
  </si>
  <si>
    <t>Industry</t>
  </si>
  <si>
    <t>Dual Enrolled</t>
  </si>
  <si>
    <t>Results Type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</si>
  <si>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</si>
  <si>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</si>
  <si>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</si>
  <si>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</si>
  <si>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</si>
  <si>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</si>
  <si>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</si>
  <si>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</si>
  <si>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</si>
  <si>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</si>
  <si>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</si>
  <si>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</si>
  <si>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</si>
  <si>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</si>
  <si>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</si>
  <si>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</si>
  <si>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</si>
  <si>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</si>
  <si>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</si>
  <si>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bid</t>
  </si>
  <si>
    <t>enrolled</t>
  </si>
  <si>
    <t>Demand Bidding Program (DBP)</t>
  </si>
  <si>
    <t>Number of Accounts Bid:</t>
  </si>
  <si>
    <t xml:space="preserve"> Number of Accounts Enrolled:</t>
  </si>
  <si>
    <t>Enrollment</t>
  </si>
  <si>
    <t>Average Event Hour % Load Impact:</t>
  </si>
  <si>
    <t>Bid</t>
  </si>
  <si>
    <t>Average per Enrolled Customer</t>
  </si>
  <si>
    <t>SD LI</t>
  </si>
  <si>
    <t>Active</t>
  </si>
  <si>
    <t>Use it</t>
  </si>
  <si>
    <t>_pass</t>
  </si>
  <si>
    <t>Called customers by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</si>
</sst>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2" fontId="0" fillId="0" borderId="0" xfId="0" applyNumberFormat="1"/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541.43889999999999</c:v>
                </c:pt>
                <c:pt idx="1">
                  <c:v>534.80160000000001</c:v>
                </c:pt>
                <c:pt idx="2">
                  <c:v>529.47739999999999</c:v>
                </c:pt>
                <c:pt idx="3">
                  <c:v>530.03740000000005</c:v>
                </c:pt>
                <c:pt idx="4">
                  <c:v>539.1816</c:v>
                </c:pt>
                <c:pt idx="5">
                  <c:v>560.36030000000005</c:v>
                </c:pt>
                <c:pt idx="6">
                  <c:v>591.55960000000005</c:v>
                </c:pt>
                <c:pt idx="7">
                  <c:v>612.27660000000003</c:v>
                </c:pt>
                <c:pt idx="8">
                  <c:v>631.46929999999998</c:v>
                </c:pt>
                <c:pt idx="9">
                  <c:v>650.15409999999997</c:v>
                </c:pt>
                <c:pt idx="10">
                  <c:v>659.71979999999996</c:v>
                </c:pt>
                <c:pt idx="11">
                  <c:v>669.33929999999998</c:v>
                </c:pt>
                <c:pt idx="12">
                  <c:v>667.44820000000004</c:v>
                </c:pt>
                <c:pt idx="13">
                  <c:v>673.30679999999995</c:v>
                </c:pt>
                <c:pt idx="14">
                  <c:v>672.29420000000005</c:v>
                </c:pt>
                <c:pt idx="15">
                  <c:v>659.495</c:v>
                </c:pt>
                <c:pt idx="16">
                  <c:v>651.34749999999997</c:v>
                </c:pt>
                <c:pt idx="17">
                  <c:v>637.31259999999997</c:v>
                </c:pt>
                <c:pt idx="18">
                  <c:v>625.51099999999997</c:v>
                </c:pt>
                <c:pt idx="19">
                  <c:v>617.30489999999998</c:v>
                </c:pt>
                <c:pt idx="20">
                  <c:v>611.93470000000002</c:v>
                </c:pt>
                <c:pt idx="21">
                  <c:v>603.05489999999998</c:v>
                </c:pt>
                <c:pt idx="22">
                  <c:v>589.40890000000002</c:v>
                </c:pt>
                <c:pt idx="23">
                  <c:v>575.39509999999996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540.15042700000004</c:v>
                </c:pt>
                <c:pt idx="1">
                  <c:v>534.95419660000005</c:v>
                </c:pt>
                <c:pt idx="2">
                  <c:v>529.7329277</c:v>
                </c:pt>
                <c:pt idx="3">
                  <c:v>530.20864700000004</c:v>
                </c:pt>
                <c:pt idx="4">
                  <c:v>540.34210199999995</c:v>
                </c:pt>
                <c:pt idx="5">
                  <c:v>561.80377200000009</c:v>
                </c:pt>
                <c:pt idx="6">
                  <c:v>592.5317543000001</c:v>
                </c:pt>
                <c:pt idx="7">
                  <c:v>612.36612930000001</c:v>
                </c:pt>
                <c:pt idx="8">
                  <c:v>628.96998099999996</c:v>
                </c:pt>
                <c:pt idx="9">
                  <c:v>647.22102799999993</c:v>
                </c:pt>
                <c:pt idx="10">
                  <c:v>656.02284599999996</c:v>
                </c:pt>
                <c:pt idx="11">
                  <c:v>660.00222899999994</c:v>
                </c:pt>
                <c:pt idx="12">
                  <c:v>639.38415000000009</c:v>
                </c:pt>
                <c:pt idx="13">
                  <c:v>644.89305999999999</c:v>
                </c:pt>
                <c:pt idx="14">
                  <c:v>646.17869000000007</c:v>
                </c:pt>
                <c:pt idx="15">
                  <c:v>633.22191999999995</c:v>
                </c:pt>
                <c:pt idx="16">
                  <c:v>625.35095999999999</c:v>
                </c:pt>
                <c:pt idx="17">
                  <c:v>613.16967</c:v>
                </c:pt>
                <c:pt idx="18">
                  <c:v>603.99243999999999</c:v>
                </c:pt>
                <c:pt idx="19">
                  <c:v>597.58105999999998</c:v>
                </c:pt>
                <c:pt idx="20">
                  <c:v>600.03156000000001</c:v>
                </c:pt>
                <c:pt idx="21">
                  <c:v>596.55718000000002</c:v>
                </c:pt>
                <c:pt idx="22">
                  <c:v>584.21630000000005</c:v>
                </c:pt>
                <c:pt idx="23">
                  <c:v>569.85357599999998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67472"/>
        <c:axId val="572268032"/>
      </c:scatterChart>
      <c:valAx>
        <c:axId val="572267472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72268032"/>
        <c:crosses val="autoZero"/>
        <c:crossBetween val="midCat"/>
        <c:majorUnit val="1"/>
      </c:valAx>
      <c:valAx>
        <c:axId val="5722680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72267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CBP_expost_private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>
      <selection activeCell="B4" sqref="B4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IF(DGET(data,"_pass",_xlnm.Criteria)=0,"Results are confidential for the selected LCA or Size","")</f>
        <v/>
      </c>
      <c r="B1" s="2"/>
      <c r="C1" s="81"/>
      <c r="I1" s="3"/>
      <c r="J1" s="3"/>
      <c r="K1" s="49"/>
      <c r="L1" s="51"/>
    </row>
    <row r="2" spans="1:14" ht="17.25" customHeight="1" thickTop="1" thickBot="1" x14ac:dyDescent="0.3">
      <c r="A2" s="37" t="s">
        <v>19</v>
      </c>
      <c r="B2" s="7" t="s">
        <v>199</v>
      </c>
      <c r="C2" s="5"/>
      <c r="D2" s="5"/>
      <c r="F2" s="4" t="s">
        <v>247</v>
      </c>
      <c r="G2" s="39">
        <f>IF(Two_way_tab_flag=1,"n/a",DGET(data,"bid",_xlnm.Criteria))</f>
        <v>77.888890000000004</v>
      </c>
      <c r="I2" s="48"/>
      <c r="J2" s="3"/>
      <c r="K2" s="49"/>
      <c r="L2" s="51"/>
    </row>
    <row r="3" spans="1:14" ht="17.25" customHeight="1" thickTop="1" thickBot="1" x14ac:dyDescent="0.3">
      <c r="A3" s="38" t="s">
        <v>10</v>
      </c>
      <c r="B3" s="34" t="s">
        <v>246</v>
      </c>
      <c r="C3" s="5"/>
      <c r="D3" s="5"/>
      <c r="F3" s="3" t="s">
        <v>248</v>
      </c>
      <c r="G3" s="39">
        <f>IF(Two_way_tab_flag=1,"n/a",DGET(data,"enrolled",_xlnm.Criteria))</f>
        <v>846.44399999999996</v>
      </c>
      <c r="I3" s="65" t="s">
        <v>231</v>
      </c>
      <c r="J3" s="66" t="str">
        <f>IF(ISNA(VLOOKUP(date,Lookups!$B$11:$F$23,5,FALSE)),"n/a",VLOOKUP(date,Lookups!$B$11:$F$23,5,FALSE))</f>
        <v>Hours Ending 13 to 20</v>
      </c>
      <c r="K3" s="50"/>
    </row>
    <row r="4" spans="1:14" ht="17.25" customHeight="1" thickBot="1" x14ac:dyDescent="0.25">
      <c r="A4" s="37" t="s">
        <v>20</v>
      </c>
      <c r="B4" s="7" t="s">
        <v>3</v>
      </c>
      <c r="C4" s="5"/>
      <c r="D4" s="5"/>
    </row>
    <row r="5" spans="1:14" ht="17.25" customHeight="1" thickBot="1" x14ac:dyDescent="0.3">
      <c r="A5" s="37" t="s">
        <v>21</v>
      </c>
      <c r="B5" s="13" t="s">
        <v>2</v>
      </c>
      <c r="C5" s="5"/>
      <c r="D5" s="5"/>
      <c r="E5" s="85" t="s">
        <v>4</v>
      </c>
      <c r="F5" s="85" t="str">
        <f>"Estimated Reference Load ("&amp;IF(Result_type="Aggregate impact","MWh","kWh")&amp;"/hour)"</f>
        <v>Estimated Reference Load (MWh/hour)</v>
      </c>
      <c r="G5" s="85" t="str">
        <f>"Observed Event Day Load ("&amp;IF(Result_type="Aggregate Impact","MWh/hour)","kWh/hour)")</f>
        <v>Observed Event Day Load (MWh/hour)</v>
      </c>
      <c r="H5" s="85" t="str">
        <f>"Estimated Load Impact ("&amp;IF(Result_type="Aggregate Impact","MWh/hour)","kWh/hour)")</f>
        <v>Estimated Load Impact (MWh/hour)</v>
      </c>
      <c r="I5" s="88" t="s">
        <v>166</v>
      </c>
      <c r="J5" s="30"/>
      <c r="K5" s="31"/>
      <c r="L5" s="31"/>
      <c r="M5" s="31"/>
      <c r="N5" s="32"/>
    </row>
    <row r="6" spans="1:14" ht="17.25" customHeight="1" thickBot="1" x14ac:dyDescent="0.35">
      <c r="C6" s="5"/>
      <c r="D6" s="5"/>
      <c r="E6" s="86"/>
      <c r="F6" s="86"/>
      <c r="G6" s="86"/>
      <c r="H6" s="86"/>
      <c r="I6" s="86"/>
      <c r="J6" s="56" t="str">
        <f>"Uncertainty Adjusted Impact ("&amp;IF(Result_type="Aggregate Impact","MWh/hr)- Percentiles","kWh/hr)- Percentiles")</f>
        <v>Uncertainty Adjusted Impact (MWh/hr)- Percentiles</v>
      </c>
      <c r="K6" s="57"/>
      <c r="L6" s="57"/>
      <c r="M6" s="57"/>
      <c r="N6" s="58"/>
    </row>
    <row r="7" spans="1:14" ht="39" customHeight="1" thickBot="1" x14ac:dyDescent="0.25">
      <c r="C7" s="5"/>
      <c r="D7" s="5"/>
      <c r="E7" s="87"/>
      <c r="F7" s="87"/>
      <c r="G7" s="87"/>
      <c r="H7" s="87"/>
      <c r="I7" s="87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8" t="s">
        <v>18</v>
      </c>
      <c r="B8" s="35" t="s">
        <v>1</v>
      </c>
      <c r="C8" s="10"/>
      <c r="D8" s="10"/>
      <c r="E8" s="36">
        <v>1</v>
      </c>
      <c r="F8" s="55">
        <f>IF(Bid=0,"n/a",DGET(data,"Ref_hr1",_xlnm.Criteria)/IF(Result_type="Aggregate Impact",1,Called/1000))</f>
        <v>541.43889999999999</v>
      </c>
      <c r="G8" s="55">
        <f t="shared" ref="G8:G31" si="0">IF(Bid=0,"n/a",F8-H8)</f>
        <v>540.15042700000004</v>
      </c>
      <c r="H8" s="55">
        <f>IF(Bid=0,"n/a",DGET(data,"Pctile50_hr1",_xlnm.Criteria)/IF(Result_type="Aggregate Impact",1,Called/1000))</f>
        <v>1.288473</v>
      </c>
      <c r="I8" s="55">
        <f>IF(Bid=0,"n/a",DGET(data,"Temp_hr1",_xlnm.Criteria))</f>
        <v>69.553629999999998</v>
      </c>
      <c r="J8" s="55">
        <f>IF(Bid=0,"n/a",DGET(data,"Pctile10_hr1",_xlnm.Criteria)/IF(Result_type="Aggregate Impact",1,Called/1000))</f>
        <v>0.22345999999999999</v>
      </c>
      <c r="K8" s="55">
        <f>IF(Bid=0,"n/a",DGET(data,"Pctile30_hr1",_xlnm.Criteria)/IF(Result_type="Aggregate Impact",1,Called/1000))</f>
        <v>0.85267820000000005</v>
      </c>
      <c r="L8" s="55">
        <f>H8</f>
        <v>1.288473</v>
      </c>
      <c r="M8" s="55">
        <f>IF(Bid=0,"n/a",DGET(data,"Pctile70_hr1",_xlnm.Criteria)/IF(Result_type="Aggregate Impact",1,Called/1000))</f>
        <v>1.7242679999999999</v>
      </c>
      <c r="N8" s="55">
        <f>IF(Bid=0,"n/a",DGET(data,"Pctile90_hr1",_xlnm.Criteria)/IF(Result_type="Aggregate Impact",1,Called/1000))</f>
        <v>2.3534860000000002</v>
      </c>
    </row>
    <row r="9" spans="1:14" ht="17.25" customHeight="1" thickBot="1" x14ac:dyDescent="0.25">
      <c r="A9" s="37" t="s">
        <v>200</v>
      </c>
      <c r="B9" s="74" t="s">
        <v>1</v>
      </c>
      <c r="C9" s="12"/>
      <c r="D9" s="12"/>
      <c r="E9" s="36">
        <v>2</v>
      </c>
      <c r="F9" s="55">
        <f>IF(Bid=0,"n/a",DGET(data,"Ref_hr2",_xlnm.Criteria)/IF(Result_type="Aggregate Impact",1,Called/1000))</f>
        <v>534.80160000000001</v>
      </c>
      <c r="G9" s="55">
        <f t="shared" si="0"/>
        <v>534.95419660000005</v>
      </c>
      <c r="H9" s="55">
        <f>IF(Bid=0,"n/a",DGET(data,"Pctile50_hr2",_xlnm.Criteria)/IF(Result_type="Aggregate Impact",1,Called/1000))</f>
        <v>-0.1525966</v>
      </c>
      <c r="I9" s="55">
        <f>IF(Bid=0,"n/a",DGET(data,"Temp_hr2",_xlnm.Criteria))</f>
        <v>68.420259999999999</v>
      </c>
      <c r="J9" s="55">
        <f>IF(Bid=0,"n/a",DGET(data,"Pctile10_hr2",_xlnm.Criteria)/IF(Result_type="Aggregate Impact",1,Called/1000))</f>
        <v>-1.039693</v>
      </c>
      <c r="K9" s="55">
        <f>IF(Bid=0,"n/a",DGET(data,"Pctile30_hr2",_xlnm.Criteria)/IF(Result_type="Aggregate Impact",1,Called/1000))</f>
        <v>-0.51558939999999998</v>
      </c>
      <c r="L9" s="55">
        <f t="shared" ref="L9:L31" si="1">H9</f>
        <v>-0.1525966</v>
      </c>
      <c r="M9" s="55">
        <f>IF(Bid=0,"n/a",DGET(data,"Pctile70_hr2",_xlnm.Criteria)/IF(Result_type="Aggregate Impact",1,Called/1000))</f>
        <v>0.2103961</v>
      </c>
      <c r="N9" s="55">
        <f>IF(Bid=0,"n/a",DGET(data,"Pctile90_hr2",_xlnm.Criteria)/IF(Result_type="Aggregate Impact",1,Called/1000))</f>
        <v>0.73450000000000004</v>
      </c>
    </row>
    <row r="10" spans="1:14" ht="17.25" customHeight="1" x14ac:dyDescent="0.2">
      <c r="C10" s="14"/>
      <c r="D10" s="14"/>
      <c r="E10" s="36">
        <v>3</v>
      </c>
      <c r="F10" s="55">
        <f>IF(Bid=0,"n/a",DGET(data,"Ref_hr3",_xlnm.Criteria)/IF(Result_type="Aggregate Impact",1,Called/1000))</f>
        <v>529.47739999999999</v>
      </c>
      <c r="G10" s="55">
        <f t="shared" si="0"/>
        <v>529.7329277</v>
      </c>
      <c r="H10" s="55">
        <f>IF(Bid=0,"n/a",DGET(data,"Pctile50_hr3",_xlnm.Criteria)/IF(Result_type="Aggregate Impact",1,Called/1000))</f>
        <v>-0.25552770000000002</v>
      </c>
      <c r="I10" s="55">
        <f>IF(Bid=0,"n/a",DGET(data,"Temp_hr3",_xlnm.Criteria))</f>
        <v>67.452209999999994</v>
      </c>
      <c r="J10" s="55">
        <f>IF(Bid=0,"n/a",DGET(data,"Pctile10_hr3",_xlnm.Criteria)/IF(Result_type="Aggregate Impact",1,Called/1000))</f>
        <v>-0.98554220000000003</v>
      </c>
      <c r="K10" s="55">
        <f>IF(Bid=0,"n/a",DGET(data,"Pctile30_hr3",_xlnm.Criteria)/IF(Result_type="Aggregate Impact",1,Called/1000))</f>
        <v>-0.55424370000000001</v>
      </c>
      <c r="L10" s="55">
        <f t="shared" si="1"/>
        <v>-0.25552770000000002</v>
      </c>
      <c r="M10" s="55">
        <f>IF(Bid=0,"n/a",DGET(data,"Pctile70_hr3",_xlnm.Criteria)/IF(Result_type="Aggregate Impact",1,Called/1000))</f>
        <v>4.3188299999999999E-2</v>
      </c>
      <c r="N10" s="55">
        <f>IF(Bid=0,"n/a",DGET(data,"Pctile90_hr3",_xlnm.Criteria)/IF(Result_type="Aggregate Impact",1,Called/1000))</f>
        <v>0.47448669999999998</v>
      </c>
    </row>
    <row r="11" spans="1:14" ht="17.25" customHeight="1" x14ac:dyDescent="0.2">
      <c r="A11" s="54"/>
      <c r="B11" s="73"/>
      <c r="C11" s="15"/>
      <c r="D11" s="15"/>
      <c r="E11" s="36">
        <v>4</v>
      </c>
      <c r="F11" s="55">
        <f>IF(Bid=0,"n/a",DGET(data,"Ref_hr4",_xlnm.Criteria)/IF(Result_type="Aggregate Impact",1,Called/1000))</f>
        <v>530.03740000000005</v>
      </c>
      <c r="G11" s="55">
        <f t="shared" si="0"/>
        <v>530.20864700000004</v>
      </c>
      <c r="H11" s="55">
        <f>IF(Bid=0,"n/a",DGET(data,"Pctile50_hr4",_xlnm.Criteria)/IF(Result_type="Aggregate Impact",1,Called/1000))</f>
        <v>-0.17124700000000001</v>
      </c>
      <c r="I11" s="55">
        <f>IF(Bid=0,"n/a",DGET(data,"Temp_hr4",_xlnm.Criteria))</f>
        <v>66.519499999999994</v>
      </c>
      <c r="J11" s="55">
        <f>IF(Bid=0,"n/a",DGET(data,"Pctile10_hr4",_xlnm.Criteria)/IF(Result_type="Aggregate Impact",1,Called/1000))</f>
        <v>-0.8500065</v>
      </c>
      <c r="K11" s="55">
        <f>IF(Bid=0,"n/a",DGET(data,"Pctile30_hr4",_xlnm.Criteria)/IF(Result_type="Aggregate Impact",1,Called/1000))</f>
        <v>-0.44898979999999999</v>
      </c>
      <c r="L11" s="55">
        <f t="shared" si="1"/>
        <v>-0.17124700000000001</v>
      </c>
      <c r="M11" s="55">
        <f>IF(Bid=0,"n/a",DGET(data,"Pctile70_hr4",_xlnm.Criteria)/IF(Result_type="Aggregate Impact",1,Called/1000))</f>
        <v>0.1064959</v>
      </c>
      <c r="N11" s="55">
        <f>IF(Bid=0,"n/a",DGET(data,"Pctile90_hr4",_xlnm.Criteria)/IF(Result_type="Aggregate Impact",1,Called/1000))</f>
        <v>0.50751250000000003</v>
      </c>
    </row>
    <row r="12" spans="1:14" ht="17.25" customHeight="1" x14ac:dyDescent="0.2">
      <c r="C12" s="15"/>
      <c r="D12" s="15"/>
      <c r="E12" s="36">
        <v>5</v>
      </c>
      <c r="F12" s="55">
        <f>IF(Bid=0,"n/a",DGET(data,"Ref_hr5",_xlnm.Criteria)/IF(Result_type="Aggregate Impact",1,Called/1000))</f>
        <v>539.1816</v>
      </c>
      <c r="G12" s="55">
        <f t="shared" si="0"/>
        <v>540.34210199999995</v>
      </c>
      <c r="H12" s="55">
        <f>IF(Bid=0,"n/a",DGET(data,"Pctile50_hr5",_xlnm.Criteria)/IF(Result_type="Aggregate Impact",1,Called/1000))</f>
        <v>-1.1605019999999999</v>
      </c>
      <c r="I12" s="55">
        <f>IF(Bid=0,"n/a",DGET(data,"Temp_hr5",_xlnm.Criteria))</f>
        <v>65.733490000000003</v>
      </c>
      <c r="J12" s="55">
        <f>IF(Bid=0,"n/a",DGET(data,"Pctile10_hr5",_xlnm.Criteria)/IF(Result_type="Aggregate Impact",1,Called/1000))</f>
        <v>-1.861332</v>
      </c>
      <c r="K12" s="55">
        <f>IF(Bid=0,"n/a",DGET(data,"Pctile30_hr5",_xlnm.Criteria)/IF(Result_type="Aggregate Impact",1,Called/1000))</f>
        <v>-1.447276</v>
      </c>
      <c r="L12" s="55">
        <f t="shared" si="1"/>
        <v>-1.1605019999999999</v>
      </c>
      <c r="M12" s="55">
        <f>IF(Bid=0,"n/a",DGET(data,"Pctile70_hr5",_xlnm.Criteria)/IF(Result_type="Aggregate Impact",1,Called/1000))</f>
        <v>-0.87372799999999995</v>
      </c>
      <c r="N12" s="55">
        <f>IF(Bid=0,"n/a",DGET(data,"Pctile90_hr5",_xlnm.Criteria)/IF(Result_type="Aggregate Impact",1,Called/1000))</f>
        <v>-0.45967180000000002</v>
      </c>
    </row>
    <row r="13" spans="1:14" ht="17.25" customHeight="1" x14ac:dyDescent="0.2">
      <c r="D13" s="5"/>
      <c r="E13" s="36">
        <v>6</v>
      </c>
      <c r="F13" s="55">
        <f>IF(Bid=0,"n/a",DGET(data,"Ref_hr6",_xlnm.Criteria)/IF(Result_type="Aggregate Impact",1,Called/1000))</f>
        <v>560.36030000000005</v>
      </c>
      <c r="G13" s="55">
        <f t="shared" si="0"/>
        <v>561.80377200000009</v>
      </c>
      <c r="H13" s="55">
        <f>IF(Bid=0,"n/a",DGET(data,"Pctile50_hr6",_xlnm.Criteria)/IF(Result_type="Aggregate Impact",1,Called/1000))</f>
        <v>-1.4434720000000001</v>
      </c>
      <c r="I13" s="55">
        <f>IF(Bid=0,"n/a",DGET(data,"Temp_hr6",_xlnm.Criteria))</f>
        <v>65.095830000000007</v>
      </c>
      <c r="J13" s="55">
        <f>IF(Bid=0,"n/a",DGET(data,"Pctile10_hr6",_xlnm.Criteria)/IF(Result_type="Aggregate Impact",1,Called/1000))</f>
        <v>-2.2111179999999999</v>
      </c>
      <c r="K13" s="55">
        <f>IF(Bid=0,"n/a",DGET(data,"Pctile30_hr6",_xlnm.Criteria)/IF(Result_type="Aggregate Impact",1,Called/1000))</f>
        <v>-1.7575860000000001</v>
      </c>
      <c r="L13" s="55">
        <f t="shared" si="1"/>
        <v>-1.4434720000000001</v>
      </c>
      <c r="M13" s="55">
        <f>IF(Bid=0,"n/a",DGET(data,"Pctile70_hr6",_xlnm.Criteria)/IF(Result_type="Aggregate Impact",1,Called/1000))</f>
        <v>-1.1293569999999999</v>
      </c>
      <c r="N13" s="55">
        <f>IF(Bid=0,"n/a",DGET(data,"Pctile90_hr6",_xlnm.Criteria)/IF(Result_type="Aggregate Impact",1,Called/1000))</f>
        <v>-0.67582569999999997</v>
      </c>
    </row>
    <row r="14" spans="1:14" ht="16.5" x14ac:dyDescent="0.2">
      <c r="D14" s="5"/>
      <c r="E14" s="36">
        <v>7</v>
      </c>
      <c r="F14" s="55">
        <f>IF(Bid=0,"n/a",DGET(data,"Ref_hr7",_xlnm.Criteria)/IF(Result_type="Aggregate Impact",1,Called/1000))</f>
        <v>591.55960000000005</v>
      </c>
      <c r="G14" s="55">
        <f t="shared" si="0"/>
        <v>592.5317543000001</v>
      </c>
      <c r="H14" s="55">
        <f>IF(Bid=0,"n/a",DGET(data,"Pctile50_hr7",_xlnm.Criteria)/IF(Result_type="Aggregate Impact",1,Called/1000))</f>
        <v>-0.97215430000000003</v>
      </c>
      <c r="I14" s="55">
        <f>IF(Bid=0,"n/a",DGET(data,"Temp_hr7",_xlnm.Criteria))</f>
        <v>64.759379999999993</v>
      </c>
      <c r="J14" s="55">
        <f>IF(Bid=0,"n/a",DGET(data,"Pctile10_hr7",_xlnm.Criteria)/IF(Result_type="Aggregate Impact",1,Called/1000))</f>
        <v>-1.759198</v>
      </c>
      <c r="K14" s="55">
        <f>IF(Bid=0,"n/a",DGET(data,"Pctile30_hr7",_xlnm.Criteria)/IF(Result_type="Aggregate Impact",1,Called/1000))</f>
        <v>-1.294206</v>
      </c>
      <c r="L14" s="55">
        <f t="shared" si="1"/>
        <v>-0.97215430000000003</v>
      </c>
      <c r="M14" s="55">
        <f>IF(Bid=0,"n/a",DGET(data,"Pctile70_hr7",_xlnm.Criteria)/IF(Result_type="Aggregate Impact",1,Called/1000))</f>
        <v>-0.65010219999999996</v>
      </c>
      <c r="N14" s="55">
        <f>IF(Bid=0,"n/a",DGET(data,"Pctile90_hr7",_xlnm.Criteria)/IF(Result_type="Aggregate Impact",1,Called/1000))</f>
        <v>-0.1851102</v>
      </c>
    </row>
    <row r="15" spans="1:14" ht="16.5" x14ac:dyDescent="0.2">
      <c r="A15" s="16"/>
      <c r="C15" s="5"/>
      <c r="D15" s="5"/>
      <c r="E15" s="36">
        <v>8</v>
      </c>
      <c r="F15" s="55">
        <f>IF(Bid=0,"n/a",DGET(data,"Ref_hr8",_xlnm.Criteria)/IF(Result_type="Aggregate Impact",1,Called/1000))</f>
        <v>612.27660000000003</v>
      </c>
      <c r="G15" s="55">
        <f t="shared" si="0"/>
        <v>612.36612930000001</v>
      </c>
      <c r="H15" s="55">
        <f>IF(Bid=0,"n/a",DGET(data,"Pctile50_hr8",_xlnm.Criteria)/IF(Result_type="Aggregate Impact",1,Called/1000))</f>
        <v>-8.9529300000000006E-2</v>
      </c>
      <c r="I15" s="55">
        <f>IF(Bid=0,"n/a",DGET(data,"Temp_hr8",_xlnm.Criteria))</f>
        <v>66.021910000000005</v>
      </c>
      <c r="J15" s="55">
        <f>IF(Bid=0,"n/a",DGET(data,"Pctile10_hr8",_xlnm.Criteria)/IF(Result_type="Aggregate Impact",1,Called/1000))</f>
        <v>-0.91305289999999995</v>
      </c>
      <c r="K15" s="55">
        <f>IF(Bid=0,"n/a",DGET(data,"Pctile30_hr8",_xlnm.Criteria)/IF(Result_type="Aggregate Impact",1,Called/1000))</f>
        <v>-0.42650850000000001</v>
      </c>
      <c r="L15" s="55">
        <f t="shared" si="1"/>
        <v>-8.9529300000000006E-2</v>
      </c>
      <c r="M15" s="55">
        <f>IF(Bid=0,"n/a",DGET(data,"Pctile70_hr8",_xlnm.Criteria)/IF(Result_type="Aggregate Impact",1,Called/1000))</f>
        <v>0.2474499</v>
      </c>
      <c r="N15" s="55">
        <f>IF(Bid=0,"n/a",DGET(data,"Pctile90_hr8",_xlnm.Criteria)/IF(Result_type="Aggregate Impact",1,Called/1000))</f>
        <v>0.73399429999999999</v>
      </c>
    </row>
    <row r="16" spans="1:14" ht="16.5" x14ac:dyDescent="0.2">
      <c r="C16" s="5"/>
      <c r="D16" s="5"/>
      <c r="E16" s="36">
        <v>9</v>
      </c>
      <c r="F16" s="55">
        <f>IF(Bid=0,"n/a",DGET(data,"Ref_hr9",_xlnm.Criteria)/IF(Result_type="Aggregate Impact",1,Called/1000))</f>
        <v>631.46929999999998</v>
      </c>
      <c r="G16" s="55">
        <f t="shared" si="0"/>
        <v>628.96998099999996</v>
      </c>
      <c r="H16" s="55">
        <f>IF(Bid=0,"n/a",DGET(data,"Pctile50_hr9",_xlnm.Criteria)/IF(Result_type="Aggregate Impact",1,Called/1000))</f>
        <v>2.4993189999999998</v>
      </c>
      <c r="I16" s="55">
        <f>IF(Bid=0,"n/a",DGET(data,"Temp_hr9",_xlnm.Criteria))</f>
        <v>68.667150000000007</v>
      </c>
      <c r="J16" s="55">
        <f>IF(Bid=0,"n/a",DGET(data,"Pctile10_hr9",_xlnm.Criteria)/IF(Result_type="Aggregate Impact",1,Called/1000))</f>
        <v>1.6316630000000001</v>
      </c>
      <c r="K16" s="55">
        <f>IF(Bid=0,"n/a",DGET(data,"Pctile30_hr9",_xlnm.Criteria)/IF(Result_type="Aggregate Impact",1,Called/1000))</f>
        <v>2.1442809999999999</v>
      </c>
      <c r="L16" s="55">
        <f t="shared" si="1"/>
        <v>2.4993189999999998</v>
      </c>
      <c r="M16" s="55">
        <f>IF(Bid=0,"n/a",DGET(data,"Pctile70_hr9",_xlnm.Criteria)/IF(Result_type="Aggregate Impact",1,Called/1000))</f>
        <v>2.8543569999999998</v>
      </c>
      <c r="N16" s="55">
        <f>IF(Bid=0,"n/a",DGET(data,"Pctile90_hr9",_xlnm.Criteria)/IF(Result_type="Aggregate Impact",1,Called/1000))</f>
        <v>3.3669750000000001</v>
      </c>
    </row>
    <row r="17" spans="3:23" ht="16.5" x14ac:dyDescent="0.2">
      <c r="C17" s="5"/>
      <c r="D17" s="5"/>
      <c r="E17" s="36">
        <v>10</v>
      </c>
      <c r="F17" s="55">
        <f>IF(Bid=0,"n/a",DGET(data,"Ref_hr10",_xlnm.Criteria)/IF(Result_type="Aggregate Impact",1,Called/1000))</f>
        <v>650.15409999999997</v>
      </c>
      <c r="G17" s="55">
        <f t="shared" si="0"/>
        <v>647.22102799999993</v>
      </c>
      <c r="H17" s="55">
        <f>IF(Bid=0,"n/a",DGET(data,"Pctile50_hr10",_xlnm.Criteria)/IF(Result_type="Aggregate Impact",1,Called/1000))</f>
        <v>2.9330720000000001</v>
      </c>
      <c r="I17" s="55">
        <f>IF(Bid=0,"n/a",DGET(data,"Temp_hr10",_xlnm.Criteria))</f>
        <v>72.049580000000006</v>
      </c>
      <c r="J17" s="55">
        <f>IF(Bid=0,"n/a",DGET(data,"Pctile10_hr10",_xlnm.Criteria)/IF(Result_type="Aggregate Impact",1,Called/1000))</f>
        <v>2.0518830000000001</v>
      </c>
      <c r="K17" s="55">
        <f>IF(Bid=0,"n/a",DGET(data,"Pctile30_hr10",_xlnm.Criteria)/IF(Result_type="Aggregate Impact",1,Called/1000))</f>
        <v>2.5724969999999998</v>
      </c>
      <c r="L17" s="55">
        <f t="shared" si="1"/>
        <v>2.9330720000000001</v>
      </c>
      <c r="M17" s="55">
        <f>IF(Bid=0,"n/a",DGET(data,"Pctile70_hr10",_xlnm.Criteria)/IF(Result_type="Aggregate Impact",1,Called/1000))</f>
        <v>3.2936480000000001</v>
      </c>
      <c r="N17" s="55">
        <f>IF(Bid=0,"n/a",DGET(data,"Pctile90_hr10",_xlnm.Criteria)/IF(Result_type="Aggregate Impact",1,Called/1000))</f>
        <v>3.8142610000000001</v>
      </c>
    </row>
    <row r="18" spans="3:23" ht="16.5" x14ac:dyDescent="0.2">
      <c r="C18" s="5"/>
      <c r="D18" s="5"/>
      <c r="E18" s="36">
        <v>11</v>
      </c>
      <c r="F18" s="55">
        <f>IF(Bid=0,"n/a",DGET(data,"Ref_hr11",_xlnm.Criteria)/IF(Result_type="Aggregate Impact",1,Called/1000))</f>
        <v>659.71979999999996</v>
      </c>
      <c r="G18" s="55">
        <f t="shared" si="0"/>
        <v>656.02284599999996</v>
      </c>
      <c r="H18" s="55">
        <f>IF(Bid=0,"n/a",DGET(data,"Pctile50_hr11",_xlnm.Criteria)/IF(Result_type="Aggregate Impact",1,Called/1000))</f>
        <v>3.6969539999999999</v>
      </c>
      <c r="I18" s="55">
        <f>IF(Bid=0,"n/a",DGET(data,"Temp_hr11",_xlnm.Criteria))</f>
        <v>75.576580000000007</v>
      </c>
      <c r="J18" s="55">
        <f>IF(Bid=0,"n/a",DGET(data,"Pctile10_hr11",_xlnm.Criteria)/IF(Result_type="Aggregate Impact",1,Called/1000))</f>
        <v>2.7348300000000001</v>
      </c>
      <c r="K18" s="55">
        <f>IF(Bid=0,"n/a",DGET(data,"Pctile30_hr11",_xlnm.Criteria)/IF(Result_type="Aggregate Impact",1,Called/1000))</f>
        <v>3.303261</v>
      </c>
      <c r="L18" s="55">
        <f t="shared" si="1"/>
        <v>3.6969539999999999</v>
      </c>
      <c r="M18" s="55">
        <f>IF(Bid=0,"n/a",DGET(data,"Pctile70_hr11",_xlnm.Criteria)/IF(Result_type="Aggregate Impact",1,Called/1000))</f>
        <v>4.0906469999999997</v>
      </c>
      <c r="N18" s="55">
        <f>IF(Bid=0,"n/a",DGET(data,"Pctile90_hr11",_xlnm.Criteria)/IF(Result_type="Aggregate Impact",1,Called/1000))</f>
        <v>4.6590769999999999</v>
      </c>
      <c r="S18" s="40"/>
      <c r="T18" s="40"/>
      <c r="U18" s="40"/>
      <c r="V18" s="40"/>
      <c r="W18" s="40"/>
    </row>
    <row r="19" spans="3:23" ht="16.5" x14ac:dyDescent="0.2">
      <c r="C19" s="5"/>
      <c r="D19" s="5"/>
      <c r="E19" s="36">
        <v>12</v>
      </c>
      <c r="F19" s="55">
        <f>IF(Bid=0,"n/a",DGET(data,"Ref_hr12",_xlnm.Criteria)/IF(Result_type="Aggregate Impact",1,Called/1000))</f>
        <v>669.33929999999998</v>
      </c>
      <c r="G19" s="55">
        <f t="shared" si="0"/>
        <v>660.00222899999994</v>
      </c>
      <c r="H19" s="55">
        <f>IF(Bid=0,"n/a",DGET(data,"Pctile50_hr12",_xlnm.Criteria)/IF(Result_type="Aggregate Impact",1,Called/1000))</f>
        <v>9.3370709999999999</v>
      </c>
      <c r="I19" s="55">
        <f>IF(Bid=0,"n/a",DGET(data,"Temp_hr12",_xlnm.Criteria))</f>
        <v>78.790660000000003</v>
      </c>
      <c r="J19" s="55">
        <f>IF(Bid=0,"n/a",DGET(data,"Pctile10_hr12",_xlnm.Criteria)/IF(Result_type="Aggregate Impact",1,Called/1000))</f>
        <v>8.3109769999999994</v>
      </c>
      <c r="K19" s="55">
        <f>IF(Bid=0,"n/a",DGET(data,"Pctile30_hr12",_xlnm.Criteria)/IF(Result_type="Aggregate Impact",1,Called/1000))</f>
        <v>8.9172019999999996</v>
      </c>
      <c r="L19" s="55">
        <f t="shared" si="1"/>
        <v>9.3370709999999999</v>
      </c>
      <c r="M19" s="55">
        <f>IF(Bid=0,"n/a",DGET(data,"Pctile70_hr12",_xlnm.Criteria)/IF(Result_type="Aggregate Impact",1,Called/1000))</f>
        <v>9.7569409999999994</v>
      </c>
      <c r="N19" s="55">
        <f>IF(Bid=0,"n/a",DGET(data,"Pctile90_hr12",_xlnm.Criteria)/IF(Result_type="Aggregate Impact",1,Called/1000))</f>
        <v>10.36317</v>
      </c>
      <c r="S19" s="40"/>
      <c r="T19" s="40"/>
      <c r="U19" s="40"/>
      <c r="V19" s="40"/>
      <c r="W19" s="40"/>
    </row>
    <row r="20" spans="3:23" ht="16.5" x14ac:dyDescent="0.2">
      <c r="C20" s="5"/>
      <c r="D20" s="5"/>
      <c r="E20" s="36">
        <v>13</v>
      </c>
      <c r="F20" s="55">
        <f>IF(Bid=0,"n/a",DGET(data,"Ref_hr13",_xlnm.Criteria)/IF(Result_type="Aggregate Impact",1,Called/1000))</f>
        <v>667.44820000000004</v>
      </c>
      <c r="G20" s="55">
        <f t="shared" si="0"/>
        <v>639.38415000000009</v>
      </c>
      <c r="H20" s="55">
        <f>IF(Bid=0,"n/a",DGET(data,"Pctile50_hr13",_xlnm.Criteria)/IF(Result_type="Aggregate Impact",1,Called/1000))</f>
        <v>28.064050000000002</v>
      </c>
      <c r="I20" s="55">
        <f>IF(Bid=0,"n/a",DGET(data,"Temp_hr13",_xlnm.Criteria))</f>
        <v>81.538679999999999</v>
      </c>
      <c r="J20" s="55">
        <f>IF(Bid=0,"n/a",DGET(data,"Pctile10_hr13",_xlnm.Criteria)/IF(Result_type="Aggregate Impact",1,Called/1000))</f>
        <v>26.88176</v>
      </c>
      <c r="K20" s="55">
        <f>IF(Bid=0,"n/a",DGET(data,"Pctile30_hr13",_xlnm.Criteria)/IF(Result_type="Aggregate Impact",1,Called/1000))</f>
        <v>27.580259999999999</v>
      </c>
      <c r="L20" s="55">
        <f t="shared" si="1"/>
        <v>28.064050000000002</v>
      </c>
      <c r="M20" s="55">
        <f>IF(Bid=0,"n/a",DGET(data,"Pctile70_hr13",_xlnm.Criteria)/IF(Result_type="Aggregate Impact",1,Called/1000))</f>
        <v>28.547830000000001</v>
      </c>
      <c r="N20" s="55">
        <f>IF(Bid=0,"n/a",DGET(data,"Pctile90_hr13",_xlnm.Criteria)/IF(Result_type="Aggregate Impact",1,Called/1000))</f>
        <v>29.24634</v>
      </c>
      <c r="P20" s="40"/>
      <c r="S20" s="40"/>
      <c r="T20" s="40"/>
      <c r="U20" s="40"/>
      <c r="V20" s="40"/>
      <c r="W20" s="40"/>
    </row>
    <row r="21" spans="3:23" ht="16.5" x14ac:dyDescent="0.2">
      <c r="C21" s="5"/>
      <c r="D21" s="5"/>
      <c r="E21" s="36">
        <v>14</v>
      </c>
      <c r="F21" s="55">
        <f>IF(Bid=0,"n/a",DGET(data,"Ref_hr14",_xlnm.Criteria)/IF(Result_type="Aggregate Impact",1,Called/1000))</f>
        <v>673.30679999999995</v>
      </c>
      <c r="G21" s="55">
        <f t="shared" si="0"/>
        <v>644.89305999999999</v>
      </c>
      <c r="H21" s="55">
        <f>IF(Bid=0,"n/a",DGET(data,"Pctile50_hr14",_xlnm.Criteria)/IF(Result_type="Aggregate Impact",1,Called/1000))</f>
        <v>28.413740000000001</v>
      </c>
      <c r="I21" s="55">
        <f>IF(Bid=0,"n/a",DGET(data,"Temp_hr14",_xlnm.Criteria))</f>
        <v>83.817949999999996</v>
      </c>
      <c r="J21" s="55">
        <f>IF(Bid=0,"n/a",DGET(data,"Pctile10_hr14",_xlnm.Criteria)/IF(Result_type="Aggregate Impact",1,Called/1000))</f>
        <v>27.179030000000001</v>
      </c>
      <c r="K21" s="55">
        <f>IF(Bid=0,"n/a",DGET(data,"Pctile30_hr14",_xlnm.Criteria)/IF(Result_type="Aggregate Impact",1,Called/1000))</f>
        <v>27.90851</v>
      </c>
      <c r="L21" s="55">
        <f t="shared" si="1"/>
        <v>28.413740000000001</v>
      </c>
      <c r="M21" s="55">
        <f>IF(Bid=0,"n/a",DGET(data,"Pctile70_hr14",_xlnm.Criteria)/IF(Result_type="Aggregate Impact",1,Called/1000))</f>
        <v>28.918980000000001</v>
      </c>
      <c r="N21" s="55">
        <f>IF(Bid=0,"n/a",DGET(data,"Pctile90_hr14",_xlnm.Criteria)/IF(Result_type="Aggregate Impact",1,Called/1000))</f>
        <v>29.64846</v>
      </c>
      <c r="P21" s="40"/>
      <c r="S21" s="40"/>
      <c r="T21" s="40"/>
      <c r="U21" s="40"/>
      <c r="V21" s="40"/>
      <c r="W21" s="40"/>
    </row>
    <row r="22" spans="3:23" ht="16.5" x14ac:dyDescent="0.2">
      <c r="C22" s="5"/>
      <c r="D22" s="5"/>
      <c r="E22" s="36">
        <v>15</v>
      </c>
      <c r="F22" s="55">
        <f>IF(Bid=0,"n/a",DGET(data,"Ref_hr15",_xlnm.Criteria)/IF(Result_type="Aggregate Impact",1,Called/1000))</f>
        <v>672.29420000000005</v>
      </c>
      <c r="G22" s="55">
        <f t="shared" si="0"/>
        <v>646.17869000000007</v>
      </c>
      <c r="H22" s="55">
        <f>IF(Bid=0,"n/a",DGET(data,"Pctile50_hr15",_xlnm.Criteria)/IF(Result_type="Aggregate Impact",1,Called/1000))</f>
        <v>26.11551</v>
      </c>
      <c r="I22" s="55">
        <f>IF(Bid=0,"n/a",DGET(data,"Temp_hr15",_xlnm.Criteria))</f>
        <v>85.137420000000006</v>
      </c>
      <c r="J22" s="55">
        <f>IF(Bid=0,"n/a",DGET(data,"Pctile10_hr15",_xlnm.Criteria)/IF(Result_type="Aggregate Impact",1,Called/1000))</f>
        <v>24.884650000000001</v>
      </c>
      <c r="K22" s="55">
        <f>IF(Bid=0,"n/a",DGET(data,"Pctile30_hr15",_xlnm.Criteria)/IF(Result_type="Aggregate Impact",1,Called/1000))</f>
        <v>25.61185</v>
      </c>
      <c r="L22" s="55">
        <f t="shared" si="1"/>
        <v>26.11551</v>
      </c>
      <c r="M22" s="55">
        <f>IF(Bid=0,"n/a",DGET(data,"Pctile70_hr15",_xlnm.Criteria)/IF(Result_type="Aggregate Impact",1,Called/1000))</f>
        <v>26.61917</v>
      </c>
      <c r="N22" s="55">
        <f>IF(Bid=0,"n/a",DGET(data,"Pctile90_hr15",_xlnm.Criteria)/IF(Result_type="Aggregate Impact",1,Called/1000))</f>
        <v>27.34637</v>
      </c>
      <c r="P22" s="40"/>
      <c r="S22" s="40"/>
      <c r="T22" s="40"/>
      <c r="U22" s="40"/>
      <c r="V22" s="40"/>
      <c r="W22" s="40"/>
    </row>
    <row r="23" spans="3:23" ht="16.5" x14ac:dyDescent="0.2">
      <c r="C23" s="5"/>
      <c r="D23" s="5"/>
      <c r="E23" s="36">
        <v>16</v>
      </c>
      <c r="F23" s="55">
        <f>IF(Bid=0,"n/a",DGET(data,"Ref_hr16",_xlnm.Criteria)/IF(Result_type="Aggregate Impact",1,Called/1000))</f>
        <v>659.495</v>
      </c>
      <c r="G23" s="55">
        <f t="shared" si="0"/>
        <v>633.22191999999995</v>
      </c>
      <c r="H23" s="55">
        <f>IF(Bid=0,"n/a",DGET(data,"Pctile50_hr16",_xlnm.Criteria)/IF(Result_type="Aggregate Impact",1,Called/1000))</f>
        <v>26.27308</v>
      </c>
      <c r="I23" s="55">
        <f>IF(Bid=0,"n/a",DGET(data,"Temp_hr16",_xlnm.Criteria))</f>
        <v>85.748270000000005</v>
      </c>
      <c r="J23" s="55">
        <f>IF(Bid=0,"n/a",DGET(data,"Pctile10_hr16",_xlnm.Criteria)/IF(Result_type="Aggregate Impact",1,Called/1000))</f>
        <v>25.039760000000001</v>
      </c>
      <c r="K23" s="55">
        <f>IF(Bid=0,"n/a",DGET(data,"Pctile30_hr16",_xlnm.Criteria)/IF(Result_type="Aggregate Impact",1,Called/1000))</f>
        <v>25.768419999999999</v>
      </c>
      <c r="L23" s="55">
        <f t="shared" si="1"/>
        <v>26.27308</v>
      </c>
      <c r="M23" s="55">
        <f>IF(Bid=0,"n/a",DGET(data,"Pctile70_hr16",_xlnm.Criteria)/IF(Result_type="Aggregate Impact",1,Called/1000))</f>
        <v>26.777750000000001</v>
      </c>
      <c r="N23" s="55">
        <f>IF(Bid=0,"n/a",DGET(data,"Pctile90_hr16",_xlnm.Criteria)/IF(Result_type="Aggregate Impact",1,Called/1000))</f>
        <v>27.506409999999999</v>
      </c>
      <c r="P23" s="40"/>
      <c r="S23" s="40"/>
      <c r="T23" s="40"/>
      <c r="U23" s="40"/>
      <c r="V23" s="40"/>
      <c r="W23" s="40"/>
    </row>
    <row r="24" spans="3:23" ht="16.5" x14ac:dyDescent="0.2">
      <c r="C24" s="5"/>
      <c r="D24" s="5"/>
      <c r="E24" s="36">
        <v>17</v>
      </c>
      <c r="F24" s="55">
        <f>IF(Bid=0,"n/a",DGET(data,"Ref_hr17",_xlnm.Criteria)/IF(Result_type="Aggregate Impact",1,Called/1000))</f>
        <v>651.34749999999997</v>
      </c>
      <c r="G24" s="55">
        <f t="shared" si="0"/>
        <v>625.35095999999999</v>
      </c>
      <c r="H24" s="55">
        <f>IF(Bid=0,"n/a",DGET(data,"Pctile50_hr17",_xlnm.Criteria)/IF(Result_type="Aggregate Impact",1,Called/1000))</f>
        <v>25.99654</v>
      </c>
      <c r="I24" s="55">
        <f>IF(Bid=0,"n/a",DGET(data,"Temp_hr17",_xlnm.Criteria))</f>
        <v>85.792550000000006</v>
      </c>
      <c r="J24" s="55">
        <f>IF(Bid=0,"n/a",DGET(data,"Pctile10_hr17",_xlnm.Criteria)/IF(Result_type="Aggregate Impact",1,Called/1000))</f>
        <v>24.739370000000001</v>
      </c>
      <c r="K24" s="55">
        <f>IF(Bid=0,"n/a",DGET(data,"Pctile30_hr17",_xlnm.Criteria)/IF(Result_type="Aggregate Impact",1,Called/1000))</f>
        <v>25.482119999999998</v>
      </c>
      <c r="L24" s="55">
        <f t="shared" si="1"/>
        <v>25.99654</v>
      </c>
      <c r="M24" s="55">
        <f>IF(Bid=0,"n/a",DGET(data,"Pctile70_hr17",_xlnm.Criteria)/IF(Result_type="Aggregate Impact",1,Called/1000))</f>
        <v>26.51097</v>
      </c>
      <c r="N24" s="55">
        <f>IF(Bid=0,"n/a",DGET(data,"Pctile90_hr17",_xlnm.Criteria)/IF(Result_type="Aggregate Impact",1,Called/1000))</f>
        <v>27.253710000000002</v>
      </c>
      <c r="P24" s="40"/>
      <c r="S24" s="40"/>
      <c r="T24" s="40"/>
      <c r="U24" s="40"/>
      <c r="V24" s="40"/>
      <c r="W24" s="40"/>
    </row>
    <row r="25" spans="3:23" ht="16.5" x14ac:dyDescent="0.2">
      <c r="C25" s="5"/>
      <c r="D25" s="5"/>
      <c r="E25" s="36">
        <v>18</v>
      </c>
      <c r="F25" s="55">
        <f>IF(Bid=0,"n/a",DGET(data,"Ref_hr18",_xlnm.Criteria)/IF(Result_type="Aggregate Impact",1,Called/1000))</f>
        <v>637.31259999999997</v>
      </c>
      <c r="G25" s="55">
        <f t="shared" si="0"/>
        <v>613.16967</v>
      </c>
      <c r="H25" s="55">
        <f>IF(Bid=0,"n/a",DGET(data,"Pctile50_hr18",_xlnm.Criteria)/IF(Result_type="Aggregate Impact",1,Called/1000))</f>
        <v>24.14293</v>
      </c>
      <c r="I25" s="55">
        <f>IF(Bid=0,"n/a",DGET(data,"Temp_hr18",_xlnm.Criteria))</f>
        <v>85.168170000000003</v>
      </c>
      <c r="J25" s="55">
        <f>IF(Bid=0,"n/a",DGET(data,"Pctile10_hr18",_xlnm.Criteria)/IF(Result_type="Aggregate Impact",1,Called/1000))</f>
        <v>22.72625</v>
      </c>
      <c r="K25" s="55">
        <f>IF(Bid=0,"n/a",DGET(data,"Pctile30_hr18",_xlnm.Criteria)/IF(Result_type="Aggregate Impact",1,Called/1000))</f>
        <v>23.56324</v>
      </c>
      <c r="L25" s="55">
        <f t="shared" si="1"/>
        <v>24.14293</v>
      </c>
      <c r="M25" s="55">
        <f>IF(Bid=0,"n/a",DGET(data,"Pctile70_hr18",_xlnm.Criteria)/IF(Result_type="Aggregate Impact",1,Called/1000))</f>
        <v>24.722629999999999</v>
      </c>
      <c r="N25" s="55">
        <f>IF(Bid=0,"n/a",DGET(data,"Pctile90_hr18",_xlnm.Criteria)/IF(Result_type="Aggregate Impact",1,Called/1000))</f>
        <v>25.559619999999999</v>
      </c>
      <c r="P25" s="40"/>
      <c r="S25" s="40"/>
      <c r="T25" s="40"/>
      <c r="U25" s="40"/>
      <c r="V25" s="40"/>
      <c r="W25" s="40"/>
    </row>
    <row r="26" spans="3:23" ht="16.5" x14ac:dyDescent="0.2">
      <c r="C26" s="5"/>
      <c r="D26" s="5"/>
      <c r="E26" s="36">
        <v>19</v>
      </c>
      <c r="F26" s="55">
        <f>IF(Bid=0,"n/a",DGET(data,"Ref_hr19",_xlnm.Criteria)/IF(Result_type="Aggregate Impact",1,Called/1000))</f>
        <v>625.51099999999997</v>
      </c>
      <c r="G26" s="55">
        <f t="shared" si="0"/>
        <v>603.99243999999999</v>
      </c>
      <c r="H26" s="55">
        <f>IF(Bid=0,"n/a",DGET(data,"Pctile50_hr19",_xlnm.Criteria)/IF(Result_type="Aggregate Impact",1,Called/1000))</f>
        <v>21.518560000000001</v>
      </c>
      <c r="I26" s="55">
        <f>IF(Bid=0,"n/a",DGET(data,"Temp_hr19",_xlnm.Criteria))</f>
        <v>83.111649999999997</v>
      </c>
      <c r="J26" s="55">
        <f>IF(Bid=0,"n/a",DGET(data,"Pctile10_hr19",_xlnm.Criteria)/IF(Result_type="Aggregate Impact",1,Called/1000))</f>
        <v>20.082889999999999</v>
      </c>
      <c r="K26" s="55">
        <f>IF(Bid=0,"n/a",DGET(data,"Pctile30_hr19",_xlnm.Criteria)/IF(Result_type="Aggregate Impact",1,Called/1000))</f>
        <v>20.931100000000001</v>
      </c>
      <c r="L26" s="55">
        <f t="shared" si="1"/>
        <v>21.518560000000001</v>
      </c>
      <c r="M26" s="55">
        <f>IF(Bid=0,"n/a",DGET(data,"Pctile70_hr19",_xlnm.Criteria)/IF(Result_type="Aggregate Impact",1,Called/1000))</f>
        <v>22.106020000000001</v>
      </c>
      <c r="N26" s="55">
        <f>IF(Bid=0,"n/a",DGET(data,"Pctile90_hr19",_xlnm.Criteria)/IF(Result_type="Aggregate Impact",1,Called/1000))</f>
        <v>22.954229999999999</v>
      </c>
      <c r="P26" s="40"/>
      <c r="S26" s="40"/>
      <c r="T26" s="40"/>
      <c r="U26" s="40"/>
      <c r="V26" s="40"/>
      <c r="W26" s="40"/>
    </row>
    <row r="27" spans="3:23" ht="16.5" x14ac:dyDescent="0.2">
      <c r="C27" s="5"/>
      <c r="D27" s="5"/>
      <c r="E27" s="36">
        <v>20</v>
      </c>
      <c r="F27" s="55">
        <f>IF(Bid=0,"n/a",DGET(data,"Ref_hr20",_xlnm.Criteria)/IF(Result_type="Aggregate Impact",1,Called/1000))</f>
        <v>617.30489999999998</v>
      </c>
      <c r="G27" s="55">
        <f t="shared" si="0"/>
        <v>597.58105999999998</v>
      </c>
      <c r="H27" s="55">
        <f>IF(Bid=0,"n/a",DGET(data,"Pctile50_hr20",_xlnm.Criteria)/IF(Result_type="Aggregate Impact",1,Called/1000))</f>
        <v>19.723839999999999</v>
      </c>
      <c r="I27" s="55">
        <f>IF(Bid=0,"n/a",DGET(data,"Temp_hr20",_xlnm.Criteria))</f>
        <v>80.073819999999998</v>
      </c>
      <c r="J27" s="55">
        <f>IF(Bid=0,"n/a",DGET(data,"Pctile10_hr20",_xlnm.Criteria)/IF(Result_type="Aggregate Impact",1,Called/1000))</f>
        <v>18.3201</v>
      </c>
      <c r="K27" s="55">
        <f>IF(Bid=0,"n/a",DGET(data,"Pctile30_hr20",_xlnm.Criteria)/IF(Result_type="Aggregate Impact",1,Called/1000))</f>
        <v>19.149439999999998</v>
      </c>
      <c r="L27" s="55">
        <f t="shared" si="1"/>
        <v>19.723839999999999</v>
      </c>
      <c r="M27" s="55">
        <f>IF(Bid=0,"n/a",DGET(data,"Pctile70_hr20",_xlnm.Criteria)/IF(Result_type="Aggregate Impact",1,Called/1000))</f>
        <v>20.29823</v>
      </c>
      <c r="N27" s="55">
        <f>IF(Bid=0,"n/a",DGET(data,"Pctile90_hr20",_xlnm.Criteria)/IF(Result_type="Aggregate Impact",1,Called/1000))</f>
        <v>21.127569999999999</v>
      </c>
      <c r="P27" s="40"/>
      <c r="S27" s="40"/>
      <c r="T27" s="40"/>
      <c r="U27" s="40"/>
      <c r="V27" s="40"/>
      <c r="W27" s="40"/>
    </row>
    <row r="28" spans="3:23" ht="16.5" x14ac:dyDescent="0.2">
      <c r="C28" s="5"/>
      <c r="D28" s="5"/>
      <c r="E28" s="36">
        <v>21</v>
      </c>
      <c r="F28" s="55">
        <f>IF(Bid=0,"n/a",DGET(data,"Ref_hr21",_xlnm.Criteria)/IF(Result_type="Aggregate Impact",1,Called/1000))</f>
        <v>611.93470000000002</v>
      </c>
      <c r="G28" s="55">
        <f t="shared" si="0"/>
        <v>600.03156000000001</v>
      </c>
      <c r="H28" s="55">
        <f>IF(Bid=0,"n/a",DGET(data,"Pctile50_hr21",_xlnm.Criteria)/IF(Result_type="Aggregate Impact",1,Called/1000))</f>
        <v>11.90314</v>
      </c>
      <c r="I28" s="55">
        <f>IF(Bid=0,"n/a",DGET(data,"Temp_hr21",_xlnm.Criteria))</f>
        <v>76.807980000000001</v>
      </c>
      <c r="J28" s="55">
        <f>IF(Bid=0,"n/a",DGET(data,"Pctile10_hr21",_xlnm.Criteria)/IF(Result_type="Aggregate Impact",1,Called/1000))</f>
        <v>10.48138</v>
      </c>
      <c r="K28" s="55">
        <f>IF(Bid=0,"n/a",DGET(data,"Pctile30_hr21",_xlnm.Criteria)/IF(Result_type="Aggregate Impact",1,Called/1000))</f>
        <v>11.32137</v>
      </c>
      <c r="L28" s="55">
        <f t="shared" si="1"/>
        <v>11.90314</v>
      </c>
      <c r="M28" s="55">
        <f>IF(Bid=0,"n/a",DGET(data,"Pctile70_hr21",_xlnm.Criteria)/IF(Result_type="Aggregate Impact",1,Called/1000))</f>
        <v>12.484909999999999</v>
      </c>
      <c r="N28" s="55">
        <f>IF(Bid=0,"n/a",DGET(data,"Pctile90_hr21",_xlnm.Criteria)/IF(Result_type="Aggregate Impact",1,Called/1000))</f>
        <v>13.3249</v>
      </c>
      <c r="S28" s="40"/>
      <c r="T28" s="40"/>
      <c r="U28" s="40"/>
      <c r="V28" s="40"/>
      <c r="W28" s="40"/>
    </row>
    <row r="29" spans="3:23" ht="16.5" x14ac:dyDescent="0.2">
      <c r="C29" s="5"/>
      <c r="D29" s="5"/>
      <c r="E29" s="36">
        <v>22</v>
      </c>
      <c r="F29" s="55">
        <f>IF(Bid=0,"n/a",DGET(data,"Ref_hr22",_xlnm.Criteria)/IF(Result_type="Aggregate Impact",1,Called/1000))</f>
        <v>603.05489999999998</v>
      </c>
      <c r="G29" s="55">
        <f t="shared" si="0"/>
        <v>596.55718000000002</v>
      </c>
      <c r="H29" s="55">
        <f>IF(Bid=0,"n/a",DGET(data,"Pctile50_hr22",_xlnm.Criteria)/IF(Result_type="Aggregate Impact",1,Called/1000))</f>
        <v>6.4977200000000002</v>
      </c>
      <c r="I29" s="55">
        <f>IF(Bid=0,"n/a",DGET(data,"Temp_hr22",_xlnm.Criteria))</f>
        <v>74.197770000000006</v>
      </c>
      <c r="J29" s="55">
        <f>IF(Bid=0,"n/a",DGET(data,"Pctile10_hr22",_xlnm.Criteria)/IF(Result_type="Aggregate Impact",1,Called/1000))</f>
        <v>5.054792</v>
      </c>
      <c r="K29" s="55">
        <f>IF(Bid=0,"n/a",DGET(data,"Pctile30_hr22",_xlnm.Criteria)/IF(Result_type="Aggregate Impact",1,Called/1000))</f>
        <v>5.907286</v>
      </c>
      <c r="L29" s="55">
        <f t="shared" si="1"/>
        <v>6.4977200000000002</v>
      </c>
      <c r="M29" s="55">
        <f>IF(Bid=0,"n/a",DGET(data,"Pctile70_hr22",_xlnm.Criteria)/IF(Result_type="Aggregate Impact",1,Called/1000))</f>
        <v>7.0881550000000004</v>
      </c>
      <c r="N29" s="55">
        <f>IF(Bid=0,"n/a",DGET(data,"Pctile90_hr22",_xlnm.Criteria)/IF(Result_type="Aggregate Impact",1,Called/1000))</f>
        <v>7.9406480000000004</v>
      </c>
    </row>
    <row r="30" spans="3:23" ht="16.5" x14ac:dyDescent="0.2">
      <c r="C30" s="5"/>
      <c r="D30" s="5"/>
      <c r="E30" s="36">
        <v>23</v>
      </c>
      <c r="F30" s="55">
        <f>IF(Bid=0,"n/a",DGET(data,"Ref_hr23",_xlnm.Criteria)/IF(Result_type="Aggregate Impact",1,Called/1000))</f>
        <v>589.40890000000002</v>
      </c>
      <c r="G30" s="55">
        <f t="shared" si="0"/>
        <v>584.21630000000005</v>
      </c>
      <c r="H30" s="55">
        <f>IF(Bid=0,"n/a",DGET(data,"Pctile50_hr23",_xlnm.Criteria)/IF(Result_type="Aggregate Impact",1,Called/1000))</f>
        <v>5.1925999999999997</v>
      </c>
      <c r="I30" s="55">
        <f>IF(Bid=0,"n/a",DGET(data,"Temp_hr23",_xlnm.Criteria))</f>
        <v>72.357010000000002</v>
      </c>
      <c r="J30" s="55">
        <f>IF(Bid=0,"n/a",DGET(data,"Pctile10_hr23",_xlnm.Criteria)/IF(Result_type="Aggregate Impact",1,Called/1000))</f>
        <v>3.7264719999999998</v>
      </c>
      <c r="K30" s="55">
        <f>IF(Bid=0,"n/a",DGET(data,"Pctile30_hr23",_xlnm.Criteria)/IF(Result_type="Aggregate Impact",1,Called/1000))</f>
        <v>4.5926720000000003</v>
      </c>
      <c r="L30" s="55">
        <f t="shared" si="1"/>
        <v>5.1925999999999997</v>
      </c>
      <c r="M30" s="55">
        <f>IF(Bid=0,"n/a",DGET(data,"Pctile70_hr23",_xlnm.Criteria)/IF(Result_type="Aggregate Impact",1,Called/1000))</f>
        <v>5.7925269999999998</v>
      </c>
      <c r="N30" s="55">
        <f>IF(Bid=0,"n/a",DGET(data,"Pctile90_hr23",_xlnm.Criteria)/IF(Result_type="Aggregate Impact",1,Called/1000))</f>
        <v>6.6587269999999998</v>
      </c>
    </row>
    <row r="31" spans="3:23" ht="16.5" x14ac:dyDescent="0.2">
      <c r="C31" s="5"/>
      <c r="D31" s="5"/>
      <c r="E31" s="36">
        <v>24</v>
      </c>
      <c r="F31" s="55">
        <f>IF(Bid=0,"n/a",DGET(data,"Ref_hr24",_xlnm.Criteria)/IF(Result_type="Aggregate Impact",1,Called/1000))</f>
        <v>575.39509999999996</v>
      </c>
      <c r="G31" s="55">
        <f t="shared" si="0"/>
        <v>569.85357599999998</v>
      </c>
      <c r="H31" s="55">
        <f>IF(Bid=0,"n/a",DGET(data,"Pctile50_hr24",_xlnm.Criteria)/IF(Result_type="Aggregate Impact",1,Called/1000))</f>
        <v>5.5415239999999999</v>
      </c>
      <c r="I31" s="55">
        <f>IF(Bid=0,"n/a",DGET(data,"Temp_hr24",_xlnm.Criteria))</f>
        <v>70.853989999999996</v>
      </c>
      <c r="J31" s="55">
        <f>IF(Bid=0,"n/a",DGET(data,"Pctile10_hr24",_xlnm.Criteria)/IF(Result_type="Aggregate Impact",1,Called/1000))</f>
        <v>4.0837139999999996</v>
      </c>
      <c r="K31" s="55">
        <f>IF(Bid=0,"n/a",DGET(data,"Pctile30_hr24",_xlnm.Criteria)/IF(Result_type="Aggregate Impact",1,Called/1000))</f>
        <v>4.9450000000000003</v>
      </c>
      <c r="L31" s="55">
        <f t="shared" si="1"/>
        <v>5.5415239999999999</v>
      </c>
      <c r="M31" s="55">
        <f>IF(Bid=0,"n/a",DGET(data,"Pctile70_hr24",_xlnm.Criteria)/IF(Result_type="Aggregate Impact",1,Called/1000))</f>
        <v>6.1380489999999996</v>
      </c>
      <c r="N31" s="55">
        <f>IF(Bid=0,"n/a",DGET(data,"Pctile90_hr24",_xlnm.Criteria)/IF(Result_type="Aggregate Impact",1,Called/1000))</f>
        <v>6.9993350000000003</v>
      </c>
    </row>
    <row r="32" spans="3:23" ht="49.5" customHeight="1" thickBot="1" x14ac:dyDescent="0.35">
      <c r="C32" s="5"/>
      <c r="D32" s="5"/>
      <c r="E32" s="17"/>
      <c r="F32" s="82" t="str">
        <f>"Estimated Reference
Energy Use
("&amp;IF(Result_type="Aggregate Impact","MWh)","kWh)")</f>
        <v>Estimated Reference
Energy Use
(MWh)</v>
      </c>
      <c r="G32" s="82" t="str">
        <f>"Observed 
Event Day Energy Use ("&amp;IF(Result_type="Aggregate Impact","MWh)","kWh)")</f>
        <v>Observed 
Event Day Energy Use (MWh)</v>
      </c>
      <c r="H32" s="82" t="str">
        <f>"Estimated 
Change in Energy Use ("&amp;IF(Result_type="Aggregate Impact","MWh)","kWh)")</f>
        <v>Estimated 
Change in Energy Use (MWh)</v>
      </c>
      <c r="I32" s="84" t="s">
        <v>206</v>
      </c>
      <c r="J32" s="59" t="str">
        <f>"Uncertainty Adjusted Impact ("&amp;IF(Result_type="Aggregate Impact","MWh/hour) - Percentiles","kWh/hour) - Percentiles")</f>
        <v>Uncertainty Adjusted Impact (MWh/hour) - Percentiles</v>
      </c>
      <c r="K32" s="59"/>
      <c r="L32" s="59"/>
      <c r="M32" s="59"/>
      <c r="N32" s="60"/>
    </row>
    <row r="33" spans="3:14" ht="16.5" x14ac:dyDescent="0.3">
      <c r="C33" s="5"/>
      <c r="D33" s="5"/>
      <c r="E33" s="64" t="s">
        <v>230</v>
      </c>
      <c r="F33" s="83"/>
      <c r="G33" s="83"/>
      <c r="H33" s="83"/>
      <c r="I33" s="83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14633.629699999998</v>
      </c>
      <c r="G34" s="22">
        <f>IF(Bid=0,"n/a",SUM(G8:G31))</f>
        <v>14388.7366059</v>
      </c>
      <c r="H34" s="22">
        <f>IF(Bid=0,"n/a",SUM(H8:H31))</f>
        <v>244.89309410000001</v>
      </c>
      <c r="I34" s="23">
        <f>IF(Bid=0,"n/a",SUM(Lookups!B32:B55))</f>
        <v>76.563730000000021</v>
      </c>
      <c r="J34" s="23" t="s">
        <v>17</v>
      </c>
      <c r="K34" s="23" t="s">
        <v>17</v>
      </c>
      <c r="L34" s="23" t="s">
        <v>17</v>
      </c>
      <c r="M34" s="23" t="s">
        <v>17</v>
      </c>
      <c r="N34" s="68" t="s">
        <v>17</v>
      </c>
    </row>
    <row r="35" spans="3:14" ht="17.25" thickBot="1" x14ac:dyDescent="0.35">
      <c r="E35" s="20" t="s">
        <v>229</v>
      </c>
      <c r="F35" s="67">
        <f>IF(Bid=0,"n/a",Lookups!D56)</f>
        <v>650.50252499999999</v>
      </c>
      <c r="G35" s="23">
        <f>IF(Bid=0,"n/a",Lookups!E56)</f>
        <v>625.47149375000004</v>
      </c>
      <c r="H35" s="23">
        <f>IF(Bid=0,"n/a",Lookups!F56)</f>
        <v>25.031031250000002</v>
      </c>
      <c r="I35" s="23">
        <f>IF(Bid=0,"n/a",Lookups!G56)</f>
        <v>70.388510000000011</v>
      </c>
      <c r="J35" s="23">
        <f>IF($G$3=0,"n/a",Lookups!R22)</f>
        <v>23.30485433965066</v>
      </c>
      <c r="K35" s="23">
        <f>IF($G$3=0,"n/a",Lookups!S22)</f>
        <v>24.324693650211493</v>
      </c>
      <c r="L35" s="23">
        <f>IF($G$3=0,"n/a",Lookups!T22)</f>
        <v>25.031031250000002</v>
      </c>
      <c r="M35" s="23">
        <f>IF($G$3=0,"n/a",Lookups!U22)</f>
        <v>25.73736884978851</v>
      </c>
      <c r="N35" s="68">
        <f>IF($G$3=0,"n/a",Lookups!V22)</f>
        <v>26.757208160349343</v>
      </c>
    </row>
    <row r="36" spans="3:14" ht="15" x14ac:dyDescent="0.25">
      <c r="E36" s="24"/>
      <c r="F36" s="40"/>
      <c r="G36" s="76" t="s">
        <v>250</v>
      </c>
      <c r="H36" s="77">
        <f>IF(Bid=0,"n/a",H35/F35)</f>
        <v>3.8479529729727034E-2</v>
      </c>
      <c r="I36" s="40"/>
    </row>
    <row r="37" spans="3:14" x14ac:dyDescent="0.2">
      <c r="E37" s="24"/>
      <c r="F37" s="40"/>
      <c r="G37" s="40"/>
      <c r="H37" s="40"/>
      <c r="I37" s="41"/>
      <c r="J37" s="53"/>
      <c r="K37" s="53"/>
      <c r="L37" s="53"/>
      <c r="M37" s="53"/>
      <c r="N37" s="53"/>
    </row>
    <row r="38" spans="3:14" x14ac:dyDescent="0.2">
      <c r="E38" s="24"/>
      <c r="F38" s="40"/>
      <c r="G38" s="40"/>
      <c r="H38" s="40"/>
      <c r="I38" s="40"/>
    </row>
    <row r="40" spans="3:14" x14ac:dyDescent="0.2">
      <c r="E40" s="24"/>
      <c r="F40" s="40"/>
      <c r="G40" s="40"/>
      <c r="H40" s="40"/>
      <c r="I40" s="41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3" priority="41" stopIfTrue="1">
      <formula>$A$1&lt;&gt;""</formula>
    </cfRule>
  </conditionalFormatting>
  <conditionalFormatting sqref="C2">
    <cfRule type="expression" dxfId="2" priority="33">
      <formula>size_lca_flag=1</formula>
    </cfRule>
  </conditionalFormatting>
  <conditionalFormatting sqref="C1">
    <cfRule type="expression" dxfId="1" priority="22" stopIfTrue="1">
      <formula>$A$1&lt;&gt;""</formula>
    </cfRule>
  </conditionalFormatting>
  <dataValidations count="5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9">
      <formula1>Size_list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AND($E8&gt;=VLOOKUP(date,Lookups!$B$11:$D$23,3,FALSE),$E8&lt;=VLOOKUP(date,Lookups!$B$11:$E$23,4,FALSE))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/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  <col min="18" max="18" width="16" bestFit="1" customWidth="1"/>
  </cols>
  <sheetData>
    <row r="1" spans="1:19" x14ac:dyDescent="0.2">
      <c r="G1" s="1"/>
      <c r="H1" s="1"/>
    </row>
    <row r="3" spans="1:19" ht="15" x14ac:dyDescent="0.25">
      <c r="A3" s="26"/>
      <c r="B3" s="25" t="s">
        <v>221</v>
      </c>
      <c r="C3" s="25"/>
      <c r="D3" s="25" t="s">
        <v>0</v>
      </c>
      <c r="E3" s="25" t="s">
        <v>205</v>
      </c>
      <c r="F3" s="25"/>
      <c r="G3" s="71"/>
      <c r="J3" s="2" t="s">
        <v>224</v>
      </c>
      <c r="K3" s="11" t="s">
        <v>221</v>
      </c>
      <c r="L3" s="11" t="s">
        <v>222</v>
      </c>
      <c r="M3" s="11" t="s">
        <v>0</v>
      </c>
      <c r="N3" s="42" t="s">
        <v>201</v>
      </c>
      <c r="O3" s="11" t="s">
        <v>223</v>
      </c>
      <c r="S3" s="45" t="s">
        <v>253</v>
      </c>
    </row>
    <row r="4" spans="1:19" x14ac:dyDescent="0.2">
      <c r="A4" s="28"/>
      <c r="B4" s="70" t="str">
        <f>date</f>
        <v>Typical Event Day</v>
      </c>
      <c r="C4" s="79"/>
      <c r="D4" s="5" t="str">
        <f>lca</f>
        <v>All</v>
      </c>
      <c r="E4" t="str">
        <f>Size</f>
        <v>All</v>
      </c>
      <c r="F4" s="80"/>
      <c r="G4" s="72"/>
      <c r="J4" t="s">
        <v>3</v>
      </c>
      <c r="K4" s="70">
        <v>41773</v>
      </c>
      <c r="L4" t="s">
        <v>1</v>
      </c>
      <c r="M4" t="s">
        <v>1</v>
      </c>
      <c r="N4" s="43" t="s">
        <v>1</v>
      </c>
      <c r="O4" s="44" t="s">
        <v>1</v>
      </c>
      <c r="R4" s="70">
        <v>41773</v>
      </c>
      <c r="S4" s="78">
        <v>0.3384337</v>
      </c>
    </row>
    <row r="5" spans="1:19" ht="13.5" x14ac:dyDescent="0.25">
      <c r="A5" s="26"/>
      <c r="B5" s="26"/>
      <c r="C5" s="26"/>
      <c r="D5" s="26"/>
      <c r="E5" s="26"/>
      <c r="F5" s="26"/>
      <c r="G5" s="27"/>
      <c r="H5" s="27"/>
      <c r="J5" s="45" t="s">
        <v>252</v>
      </c>
      <c r="K5" s="70">
        <v>41820</v>
      </c>
      <c r="L5" t="s">
        <v>208</v>
      </c>
      <c r="M5" t="s">
        <v>191</v>
      </c>
      <c r="N5" s="45" t="s">
        <v>203</v>
      </c>
      <c r="O5" s="44" t="s">
        <v>218</v>
      </c>
      <c r="R5" s="70">
        <v>41820</v>
      </c>
      <c r="S5" s="78">
        <v>3.1950500000000002</v>
      </c>
    </row>
    <row r="6" spans="1:19" x14ac:dyDescent="0.2">
      <c r="A6" s="28"/>
      <c r="B6" s="28"/>
      <c r="C6" s="75" t="s">
        <v>249</v>
      </c>
      <c r="D6" s="29">
        <f>DGET(data,"enrolled",_xlnm.Criteria)</f>
        <v>846.44399999999996</v>
      </c>
      <c r="E6" s="28"/>
      <c r="F6" s="29"/>
      <c r="G6" s="29"/>
      <c r="H6" s="29"/>
      <c r="K6" s="70">
        <v>41827</v>
      </c>
      <c r="L6" t="s">
        <v>209</v>
      </c>
      <c r="M6" t="s">
        <v>192</v>
      </c>
      <c r="N6" s="46" t="s">
        <v>202</v>
      </c>
      <c r="O6" s="44" t="s">
        <v>219</v>
      </c>
      <c r="R6" s="70">
        <v>41827</v>
      </c>
      <c r="S6" s="78">
        <v>0.49925330000000001</v>
      </c>
    </row>
    <row r="7" spans="1:19" ht="13.5" x14ac:dyDescent="0.25">
      <c r="A7" s="26"/>
      <c r="C7" s="44" t="s">
        <v>225</v>
      </c>
      <c r="D7">
        <f>IF(COUNTIF(Table!B7:B9,"All")&lt;2,1,0)</f>
        <v>0</v>
      </c>
      <c r="K7" s="70">
        <v>41834</v>
      </c>
      <c r="L7" t="s">
        <v>210</v>
      </c>
      <c r="M7" t="s">
        <v>193</v>
      </c>
      <c r="N7" s="47" t="s">
        <v>204</v>
      </c>
      <c r="R7" s="70">
        <v>41834</v>
      </c>
      <c r="S7" s="78">
        <v>0.65468669999999995</v>
      </c>
    </row>
    <row r="8" spans="1:19" ht="13.5" x14ac:dyDescent="0.25">
      <c r="A8" s="27"/>
      <c r="C8" s="44" t="s">
        <v>251</v>
      </c>
      <c r="D8">
        <f>DGET(data,"bid",_xlnm.Criteria)</f>
        <v>77.888890000000004</v>
      </c>
      <c r="K8" s="70">
        <v>41848</v>
      </c>
      <c r="L8" t="s">
        <v>211</v>
      </c>
      <c r="M8" t="s">
        <v>194</v>
      </c>
      <c r="N8" s="33"/>
      <c r="R8" s="70">
        <v>41848</v>
      </c>
      <c r="S8" s="78">
        <v>1.1216950000000001</v>
      </c>
    </row>
    <row r="9" spans="1:19" x14ac:dyDescent="0.2">
      <c r="K9" s="70">
        <v>41849</v>
      </c>
      <c r="L9" t="s">
        <v>212</v>
      </c>
      <c r="M9" t="s">
        <v>195</v>
      </c>
      <c r="N9" s="33"/>
      <c r="R9" s="70">
        <v>41849</v>
      </c>
      <c r="S9" s="78">
        <v>0.80208279999999998</v>
      </c>
    </row>
    <row r="10" spans="1:19" x14ac:dyDescent="0.2">
      <c r="B10" t="s">
        <v>220</v>
      </c>
      <c r="C10" t="s">
        <v>226</v>
      </c>
      <c r="D10" t="s">
        <v>227</v>
      </c>
      <c r="E10" t="s">
        <v>228</v>
      </c>
      <c r="K10" s="70">
        <v>41850</v>
      </c>
      <c r="L10" t="s">
        <v>213</v>
      </c>
      <c r="M10" t="s">
        <v>196</v>
      </c>
      <c r="N10" s="33"/>
      <c r="R10" s="70">
        <v>41850</v>
      </c>
      <c r="S10" s="78">
        <v>0.61397029999999997</v>
      </c>
    </row>
    <row r="11" spans="1:19" x14ac:dyDescent="0.2">
      <c r="B11" s="70">
        <v>41773</v>
      </c>
      <c r="D11">
        <v>13</v>
      </c>
      <c r="E11">
        <v>20</v>
      </c>
      <c r="F11" t="str">
        <f t="shared" ref="F11:F23" si="0">"Hours Ending "&amp;D11&amp;" to "&amp;E11</f>
        <v>Hours Ending 13 to 20</v>
      </c>
      <c r="K11" s="70">
        <v>41851</v>
      </c>
      <c r="L11" t="s">
        <v>214</v>
      </c>
      <c r="M11" t="s">
        <v>197</v>
      </c>
      <c r="N11" s="33"/>
      <c r="R11" s="70">
        <v>41851</v>
      </c>
      <c r="S11" s="78">
        <v>1.109712</v>
      </c>
    </row>
    <row r="12" spans="1:19" x14ac:dyDescent="0.2">
      <c r="B12" s="70">
        <v>41820</v>
      </c>
      <c r="D12">
        <v>13</v>
      </c>
      <c r="E12">
        <v>20</v>
      </c>
      <c r="F12" t="str">
        <f t="shared" si="0"/>
        <v>Hours Ending 13 to 20</v>
      </c>
      <c r="K12" s="70">
        <v>41852</v>
      </c>
      <c r="L12" t="s">
        <v>215</v>
      </c>
      <c r="M12" t="s">
        <v>198</v>
      </c>
      <c r="R12" s="70">
        <v>41852</v>
      </c>
      <c r="S12" s="78">
        <v>0.73704740000000002</v>
      </c>
    </row>
    <row r="13" spans="1:19" x14ac:dyDescent="0.2">
      <c r="B13" s="70">
        <v>41827</v>
      </c>
      <c r="D13">
        <v>13</v>
      </c>
      <c r="E13">
        <v>20</v>
      </c>
      <c r="F13" t="str">
        <f t="shared" si="0"/>
        <v>Hours Ending 13 to 20</v>
      </c>
      <c r="K13" s="70">
        <v>41894</v>
      </c>
      <c r="R13" s="70">
        <v>41894</v>
      </c>
      <c r="S13" s="78">
        <v>0.11160499698396126</v>
      </c>
    </row>
    <row r="14" spans="1:19" x14ac:dyDescent="0.2">
      <c r="B14" s="70">
        <v>41834</v>
      </c>
      <c r="D14">
        <v>13</v>
      </c>
      <c r="E14">
        <v>20</v>
      </c>
      <c r="F14" t="str">
        <f t="shared" si="0"/>
        <v>Hours Ending 13 to 20</v>
      </c>
      <c r="K14" s="70">
        <v>41897</v>
      </c>
      <c r="R14" s="70">
        <v>41897</v>
      </c>
      <c r="S14" s="78">
        <v>0.87307699999999999</v>
      </c>
    </row>
    <row r="15" spans="1:19" x14ac:dyDescent="0.2">
      <c r="B15" s="70">
        <v>41848</v>
      </c>
      <c r="D15">
        <v>13</v>
      </c>
      <c r="E15">
        <v>20</v>
      </c>
      <c r="F15" t="str">
        <f t="shared" si="0"/>
        <v>Hours Ending 13 to 20</v>
      </c>
      <c r="K15" s="70">
        <v>41898</v>
      </c>
      <c r="R15" s="70">
        <v>41898</v>
      </c>
      <c r="S15" s="78">
        <v>0.80848540000000002</v>
      </c>
    </row>
    <row r="16" spans="1:19" x14ac:dyDescent="0.2">
      <c r="B16" s="70">
        <v>41849</v>
      </c>
      <c r="D16">
        <v>13</v>
      </c>
      <c r="E16">
        <v>20</v>
      </c>
      <c r="F16" t="str">
        <f t="shared" si="0"/>
        <v>Hours Ending 13 to 20</v>
      </c>
      <c r="K16" t="s">
        <v>2</v>
      </c>
      <c r="R16" t="s">
        <v>2</v>
      </c>
      <c r="S16" s="78">
        <v>1.346943</v>
      </c>
    </row>
    <row r="17" spans="1:22" x14ac:dyDescent="0.2">
      <c r="B17" s="70">
        <v>41850</v>
      </c>
      <c r="D17">
        <v>13</v>
      </c>
      <c r="E17">
        <v>20</v>
      </c>
      <c r="F17" t="str">
        <f t="shared" si="0"/>
        <v>Hours Ending 13 to 20</v>
      </c>
    </row>
    <row r="18" spans="1:22" x14ac:dyDescent="0.2">
      <c r="B18" s="70">
        <v>41851</v>
      </c>
      <c r="D18">
        <v>13</v>
      </c>
      <c r="E18">
        <v>20</v>
      </c>
      <c r="F18" t="str">
        <f t="shared" si="0"/>
        <v>Hours Ending 13 to 20</v>
      </c>
      <c r="R18" s="44" t="s">
        <v>254</v>
      </c>
      <c r="S18">
        <f>VLOOKUP(date,$R$4:$S$16,2,FALSE)/IF(Result_type="Aggregate Impact",1,Called/1000)</f>
        <v>1.346943</v>
      </c>
    </row>
    <row r="19" spans="1:22" x14ac:dyDescent="0.2">
      <c r="B19" s="70">
        <v>41852</v>
      </c>
      <c r="D19">
        <v>13</v>
      </c>
      <c r="E19">
        <v>20</v>
      </c>
      <c r="F19" t="str">
        <f t="shared" si="0"/>
        <v>Hours Ending 13 to 20</v>
      </c>
      <c r="O19" s="33"/>
      <c r="R19" s="44" t="s">
        <v>255</v>
      </c>
      <c r="S19">
        <f>IF(AND(lca="All",Size="All"),1,0)</f>
        <v>1</v>
      </c>
    </row>
    <row r="20" spans="1:22" x14ac:dyDescent="0.2">
      <c r="B20" s="70">
        <v>41894</v>
      </c>
      <c r="D20">
        <v>13</v>
      </c>
      <c r="E20">
        <v>20</v>
      </c>
      <c r="F20" t="str">
        <f t="shared" si="0"/>
        <v>Hours Ending 13 to 20</v>
      </c>
      <c r="O20" s="33"/>
    </row>
    <row r="21" spans="1:22" x14ac:dyDescent="0.2">
      <c r="B21" s="70">
        <v>41897</v>
      </c>
      <c r="D21">
        <v>13</v>
      </c>
      <c r="E21">
        <v>20</v>
      </c>
      <c r="F21" t="str">
        <f t="shared" si="0"/>
        <v>Hours Ending 13 to 20</v>
      </c>
      <c r="O21" s="33"/>
      <c r="R21">
        <v>0.1</v>
      </c>
      <c r="S21">
        <v>0.3</v>
      </c>
      <c r="T21">
        <v>0.5</v>
      </c>
      <c r="U21">
        <v>0.7</v>
      </c>
      <c r="V21">
        <v>0.9</v>
      </c>
    </row>
    <row r="22" spans="1:22" x14ac:dyDescent="0.2">
      <c r="B22" s="70">
        <v>41898</v>
      </c>
      <c r="D22">
        <v>13</v>
      </c>
      <c r="E22">
        <v>20</v>
      </c>
      <c r="F22" t="str">
        <f t="shared" si="0"/>
        <v>Hours Ending 13 to 20</v>
      </c>
      <c r="O22" s="33"/>
      <c r="R22" s="53">
        <f>IF($S$19=0,"n/a",NORMINV(R21,Table!$H$35,Lookups!$S$18))</f>
        <v>23.30485433965066</v>
      </c>
      <c r="S22" s="53">
        <f>IF($S$19=0,"n/a",NORMINV(S21,Table!$H$35,Lookups!$S$18))</f>
        <v>24.324693650211493</v>
      </c>
      <c r="T22" s="53">
        <f>IF($S$19=0,"n/a",NORMINV(T21,Table!$H$35,Lookups!$S$18))</f>
        <v>25.031031250000002</v>
      </c>
      <c r="U22" s="53">
        <f>IF($S$19=0,"n/a",NORMINV(U21,Table!$H$35,Lookups!$S$18))</f>
        <v>25.73736884978851</v>
      </c>
      <c r="V22" s="53">
        <f>IF($S$19=0,"n/a",NORMINV(V21,Table!$H$35,Lookups!$S$18))</f>
        <v>26.757208160349343</v>
      </c>
    </row>
    <row r="23" spans="1:22" x14ac:dyDescent="0.2">
      <c r="B23" s="70" t="s">
        <v>2</v>
      </c>
      <c r="D23">
        <v>13</v>
      </c>
      <c r="E23">
        <v>20</v>
      </c>
      <c r="F23" t="str">
        <f t="shared" si="0"/>
        <v>Hours Ending 13 to 20</v>
      </c>
      <c r="O23" s="33"/>
    </row>
    <row r="24" spans="1:22" x14ac:dyDescent="0.2">
      <c r="B24" s="62"/>
      <c r="O24" s="33"/>
    </row>
    <row r="25" spans="1:22" x14ac:dyDescent="0.2">
      <c r="B25" s="63"/>
      <c r="O25" s="33"/>
      <c r="R25" s="44" t="s">
        <v>257</v>
      </c>
    </row>
    <row r="26" spans="1:22" x14ac:dyDescent="0.2">
      <c r="B26" s="63"/>
      <c r="R26" s="70">
        <v>41773</v>
      </c>
      <c r="S26">
        <v>273</v>
      </c>
    </row>
    <row r="27" spans="1:22" x14ac:dyDescent="0.2">
      <c r="B27" s="63"/>
      <c r="R27" s="70">
        <v>41820</v>
      </c>
      <c r="S27">
        <v>868</v>
      </c>
    </row>
    <row r="28" spans="1:22" x14ac:dyDescent="0.2">
      <c r="A28" s="6"/>
      <c r="B28" s="6"/>
      <c r="C28" s="6"/>
      <c r="D28" s="6"/>
      <c r="E28" s="6"/>
      <c r="F28" s="6"/>
      <c r="R28" s="70">
        <v>41827</v>
      </c>
      <c r="S28">
        <v>867</v>
      </c>
    </row>
    <row r="29" spans="1:22" x14ac:dyDescent="0.2">
      <c r="A29" s="6"/>
      <c r="B29" s="6"/>
      <c r="C29" s="6"/>
      <c r="D29" s="6"/>
      <c r="E29" s="6"/>
      <c r="F29" s="6"/>
      <c r="R29" s="70">
        <v>41834</v>
      </c>
      <c r="S29">
        <v>122</v>
      </c>
    </row>
    <row r="30" spans="1:22" x14ac:dyDescent="0.2">
      <c r="A30" s="6"/>
      <c r="B30" s="6"/>
      <c r="C30" s="6"/>
      <c r="D30" s="6"/>
      <c r="E30" s="6"/>
      <c r="F30" s="6"/>
      <c r="R30" s="70">
        <v>41848</v>
      </c>
      <c r="S30">
        <v>867</v>
      </c>
    </row>
    <row r="31" spans="1:22" x14ac:dyDescent="0.2">
      <c r="B31" s="52" t="s">
        <v>207</v>
      </c>
      <c r="C31" s="44" t="s">
        <v>242</v>
      </c>
      <c r="D31" s="44" t="s">
        <v>232</v>
      </c>
      <c r="E31" s="44" t="s">
        <v>233</v>
      </c>
      <c r="F31" s="44" t="s">
        <v>234</v>
      </c>
      <c r="G31" s="44" t="s">
        <v>240</v>
      </c>
      <c r="H31" s="44" t="s">
        <v>235</v>
      </c>
      <c r="I31" s="44" t="s">
        <v>236</v>
      </c>
      <c r="J31" s="44" t="s">
        <v>237</v>
      </c>
      <c r="K31" s="44" t="s">
        <v>238</v>
      </c>
      <c r="L31" s="44" t="s">
        <v>239</v>
      </c>
      <c r="M31" s="44" t="s">
        <v>243</v>
      </c>
      <c r="R31" s="70">
        <v>41849</v>
      </c>
      <c r="S31">
        <v>866</v>
      </c>
    </row>
    <row r="32" spans="1:22" x14ac:dyDescent="0.2">
      <c r="A32">
        <v>1</v>
      </c>
      <c r="B32" s="53">
        <f>MAX(0,Table!I8-75)</f>
        <v>0</v>
      </c>
      <c r="C32" t="str">
        <f t="shared" ref="C32:C55" si="1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0" t="str">
        <f>IF(C32=1,((Table!K8-Table!L8)/NORMSINV(0.3))^2,"")</f>
        <v/>
      </c>
      <c r="R32" s="70">
        <v>41850</v>
      </c>
      <c r="S32">
        <v>866</v>
      </c>
    </row>
    <row r="33" spans="1:19" x14ac:dyDescent="0.2">
      <c r="A33">
        <f>A32+1</f>
        <v>2</v>
      </c>
      <c r="B33" s="53">
        <f>MAX(0,Table!I9-75)</f>
        <v>0</v>
      </c>
      <c r="C33" t="str">
        <f t="shared" si="1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2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0" t="str">
        <f>IF(C33=1,((Table!K9-Table!L9)/NORMSINV(0.3))^2,"")</f>
        <v/>
      </c>
      <c r="R33" s="70">
        <v>41851</v>
      </c>
      <c r="S33">
        <v>863</v>
      </c>
    </row>
    <row r="34" spans="1:19" x14ac:dyDescent="0.2">
      <c r="A34">
        <f t="shared" ref="A34:A55" si="3">A33+1</f>
        <v>3</v>
      </c>
      <c r="B34" s="53">
        <f>MAX(0,Table!I10-75)</f>
        <v>0</v>
      </c>
      <c r="C34" t="str">
        <f t="shared" si="1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2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0" t="str">
        <f>IF(C34=1,((Table!K10-Table!L10)/NORMSINV(0.3))^2,"")</f>
        <v/>
      </c>
      <c r="R34" s="70">
        <v>41852</v>
      </c>
      <c r="S34">
        <v>863</v>
      </c>
    </row>
    <row r="35" spans="1:19" x14ac:dyDescent="0.2">
      <c r="A35">
        <f t="shared" si="3"/>
        <v>4</v>
      </c>
      <c r="B35" s="53">
        <f>MAX(0,Table!I11-75)</f>
        <v>0</v>
      </c>
      <c r="C35" t="str">
        <f t="shared" si="1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2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0" t="str">
        <f>IF(C35=1,((Table!K11-Table!L11)/NORMSINV(0.3))^2,"")</f>
        <v/>
      </c>
      <c r="R35" s="70">
        <v>41894</v>
      </c>
      <c r="S35">
        <v>99</v>
      </c>
    </row>
    <row r="36" spans="1:19" x14ac:dyDescent="0.2">
      <c r="A36">
        <f t="shared" si="3"/>
        <v>5</v>
      </c>
      <c r="B36" s="53">
        <f>MAX(0,Table!I12-75)</f>
        <v>0</v>
      </c>
      <c r="C36" t="str">
        <f t="shared" si="1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2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0" t="str">
        <f>IF(C36=1,((Table!K12-Table!L12)/NORMSINV(0.3))^2,"")</f>
        <v/>
      </c>
      <c r="R36" s="70">
        <v>41897</v>
      </c>
      <c r="S36">
        <v>779</v>
      </c>
    </row>
    <row r="37" spans="1:19" x14ac:dyDescent="0.2">
      <c r="A37">
        <f t="shared" si="3"/>
        <v>6</v>
      </c>
      <c r="B37" s="53">
        <f>MAX(0,Table!I13-75)</f>
        <v>0</v>
      </c>
      <c r="C37" t="str">
        <f t="shared" si="1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2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0" t="str">
        <f>IF(C37=1,((Table!K13-Table!L13)/NORMSINV(0.3))^2,"")</f>
        <v/>
      </c>
      <c r="R37" s="70">
        <v>41898</v>
      </c>
      <c r="S37">
        <v>779</v>
      </c>
    </row>
    <row r="38" spans="1:19" x14ac:dyDescent="0.2">
      <c r="A38">
        <f t="shared" si="3"/>
        <v>7</v>
      </c>
      <c r="B38" s="53">
        <f>MAX(0,Table!I14-75)</f>
        <v>0</v>
      </c>
      <c r="C38" t="str">
        <f t="shared" si="1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2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0" t="str">
        <f>IF(C38=1,((Table!K14-Table!L14)/NORMSINV(0.3))^2,"")</f>
        <v/>
      </c>
      <c r="R38" t="s">
        <v>2</v>
      </c>
      <c r="S38">
        <v>846</v>
      </c>
    </row>
    <row r="39" spans="1:19" x14ac:dyDescent="0.2">
      <c r="A39">
        <f t="shared" si="3"/>
        <v>8</v>
      </c>
      <c r="B39" s="53">
        <f>MAX(0,Table!I15-75)</f>
        <v>0</v>
      </c>
      <c r="C39" t="str">
        <f t="shared" si="1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2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0" t="str">
        <f>IF(C39=1,((Table!K15-Table!L15)/NORMSINV(0.3))^2,"")</f>
        <v/>
      </c>
    </row>
    <row r="40" spans="1:19" x14ac:dyDescent="0.2">
      <c r="A40">
        <f t="shared" si="3"/>
        <v>9</v>
      </c>
      <c r="B40" s="53">
        <f>MAX(0,Table!I16-75)</f>
        <v>0</v>
      </c>
      <c r="C40" t="str">
        <f t="shared" si="1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2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0" t="str">
        <f>IF(C40=1,((Table!K16-Table!L16)/NORMSINV(0.3))^2,"")</f>
        <v/>
      </c>
      <c r="R40" s="44" t="s">
        <v>254</v>
      </c>
      <c r="S40">
        <f>VLOOKUP(date,R26:S38,2,FALSE)</f>
        <v>846</v>
      </c>
    </row>
    <row r="41" spans="1:19" x14ac:dyDescent="0.2">
      <c r="A41">
        <f t="shared" si="3"/>
        <v>10</v>
      </c>
      <c r="B41" s="53">
        <f>MAX(0,Table!I17-75)</f>
        <v>0</v>
      </c>
      <c r="C41" t="str">
        <f t="shared" si="1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2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0" t="str">
        <f>IF(C41=1,((Table!K17-Table!L17)/NORMSINV(0.3))^2,"")</f>
        <v/>
      </c>
    </row>
    <row r="42" spans="1:19" x14ac:dyDescent="0.2">
      <c r="A42">
        <f t="shared" si="3"/>
        <v>11</v>
      </c>
      <c r="B42" s="53">
        <f>MAX(0,Table!I18-75)</f>
        <v>0.57658000000000698</v>
      </c>
      <c r="C42" t="str">
        <f t="shared" si="1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2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0" t="str">
        <f>IF(C42=1,((Table!K18-Table!L18)/NORMSINV(0.3))^2,"")</f>
        <v/>
      </c>
    </row>
    <row r="43" spans="1:19" x14ac:dyDescent="0.2">
      <c r="A43">
        <f t="shared" si="3"/>
        <v>12</v>
      </c>
      <c r="B43" s="53">
        <f>MAX(0,Table!I19-75)</f>
        <v>3.7906600000000026</v>
      </c>
      <c r="C43" t="str">
        <f t="shared" si="1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2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0" t="str">
        <f>IF(C43=1,((Table!K19-Table!L19)/NORMSINV(0.3))^2,"")</f>
        <v/>
      </c>
    </row>
    <row r="44" spans="1:19" x14ac:dyDescent="0.2">
      <c r="A44">
        <f t="shared" si="3"/>
        <v>13</v>
      </c>
      <c r="B44" s="53">
        <f>MAX(0,Table!I20-75)</f>
        <v>6.5386799999999994</v>
      </c>
      <c r="C44">
        <f t="shared" si="1"/>
        <v>1</v>
      </c>
      <c r="D44" s="6">
        <f>IF($C44=1,Table!F20,"")</f>
        <v>667.44820000000004</v>
      </c>
      <c r="E44" s="6">
        <f>IF($C44=1,Table!G20,"")</f>
        <v>639.38415000000009</v>
      </c>
      <c r="F44" s="6">
        <f>IF($C44=1,Table!H20,"")</f>
        <v>28.064050000000002</v>
      </c>
      <c r="G44" s="6">
        <f t="shared" si="2"/>
        <v>6.5386799999999994</v>
      </c>
      <c r="H44" s="6">
        <f>IF($C44=1,Table!J20,"")</f>
        <v>26.88176</v>
      </c>
      <c r="I44" s="6">
        <f>IF($C44=1,Table!K20,"")</f>
        <v>27.580259999999999</v>
      </c>
      <c r="J44" s="6">
        <f>IF($C44=1,Table!L20,"")</f>
        <v>28.064050000000002</v>
      </c>
      <c r="K44" s="6">
        <f>IF($C44=1,Table!M20,"")</f>
        <v>28.547830000000001</v>
      </c>
      <c r="L44" s="6">
        <f>IF($C44=1,Table!N20,"")</f>
        <v>29.24634</v>
      </c>
      <c r="M44" s="40">
        <f>IF(C44=1,((Table!K20-Table!L20)/NORMSINV(0.3))^2,"")</f>
        <v>0.85111365672486217</v>
      </c>
    </row>
    <row r="45" spans="1:19" x14ac:dyDescent="0.2">
      <c r="A45">
        <f t="shared" si="3"/>
        <v>14</v>
      </c>
      <c r="B45" s="53">
        <f>MAX(0,Table!I21-75)</f>
        <v>8.8179499999999962</v>
      </c>
      <c r="C45">
        <f t="shared" si="1"/>
        <v>1</v>
      </c>
      <c r="D45" s="6">
        <f>IF($C45=1,Table!F21,"")</f>
        <v>673.30679999999995</v>
      </c>
      <c r="E45" s="6">
        <f>IF($C45=1,Table!G21,"")</f>
        <v>644.89305999999999</v>
      </c>
      <c r="F45" s="6">
        <f>IF($C45=1,Table!H21,"")</f>
        <v>28.413740000000001</v>
      </c>
      <c r="G45" s="6">
        <f t="shared" si="2"/>
        <v>8.8179499999999962</v>
      </c>
      <c r="H45" s="6">
        <f>IF($C45=1,Table!J21,"")</f>
        <v>27.179030000000001</v>
      </c>
      <c r="I45" s="6">
        <f>IF($C45=1,Table!K21,"")</f>
        <v>27.90851</v>
      </c>
      <c r="J45" s="6">
        <f>IF($C45=1,Table!L21,"")</f>
        <v>28.413740000000001</v>
      </c>
      <c r="K45" s="6">
        <f>IF($C45=1,Table!M21,"")</f>
        <v>28.918980000000001</v>
      </c>
      <c r="L45" s="6">
        <f>IF($C45=1,Table!N21,"")</f>
        <v>29.64846</v>
      </c>
      <c r="M45" s="40">
        <f>IF(C45=1,((Table!K21-Table!L21)/NORMSINV(0.3))^2,"")</f>
        <v>0.92822240261945299</v>
      </c>
    </row>
    <row r="46" spans="1:19" x14ac:dyDescent="0.2">
      <c r="A46">
        <f t="shared" si="3"/>
        <v>15</v>
      </c>
      <c r="B46" s="53">
        <f>MAX(0,Table!I22-75)</f>
        <v>10.137420000000006</v>
      </c>
      <c r="C46">
        <f t="shared" si="1"/>
        <v>1</v>
      </c>
      <c r="D46" s="6">
        <f>IF($C46=1,Table!F22,"")</f>
        <v>672.29420000000005</v>
      </c>
      <c r="E46" s="6">
        <f>IF($C46=1,Table!G22,"")</f>
        <v>646.17869000000007</v>
      </c>
      <c r="F46" s="6">
        <f>IF($C46=1,Table!H22,"")</f>
        <v>26.11551</v>
      </c>
      <c r="G46" s="6">
        <f t="shared" si="2"/>
        <v>10.137420000000006</v>
      </c>
      <c r="H46" s="6">
        <f>IF($C46=1,Table!J22,"")</f>
        <v>24.884650000000001</v>
      </c>
      <c r="I46" s="6">
        <f>IF($C46=1,Table!K22,"")</f>
        <v>25.61185</v>
      </c>
      <c r="J46" s="6">
        <f>IF($C46=1,Table!L22,"")</f>
        <v>26.11551</v>
      </c>
      <c r="K46" s="6">
        <f>IF($C46=1,Table!M22,"")</f>
        <v>26.61917</v>
      </c>
      <c r="L46" s="6">
        <f>IF($C46=1,Table!N22,"")</f>
        <v>27.34637</v>
      </c>
      <c r="M46" s="40">
        <f>IF(C46=1,((Table!K22-Table!L22)/NORMSINV(0.3))^2,"")</f>
        <v>0.92246247196926912</v>
      </c>
    </row>
    <row r="47" spans="1:19" x14ac:dyDescent="0.2">
      <c r="A47">
        <f t="shared" si="3"/>
        <v>16</v>
      </c>
      <c r="B47" s="53">
        <f>MAX(0,Table!I23-75)</f>
        <v>10.748270000000005</v>
      </c>
      <c r="C47">
        <f t="shared" si="1"/>
        <v>1</v>
      </c>
      <c r="D47" s="6">
        <f>IF($C47=1,Table!F23,"")</f>
        <v>659.495</v>
      </c>
      <c r="E47" s="6">
        <f>IF($C47=1,Table!G23,"")</f>
        <v>633.22191999999995</v>
      </c>
      <c r="F47" s="6">
        <f>IF($C47=1,Table!H23,"")</f>
        <v>26.27308</v>
      </c>
      <c r="G47" s="6">
        <f t="shared" si="2"/>
        <v>10.748270000000005</v>
      </c>
      <c r="H47" s="6">
        <f>IF($C47=1,Table!J23,"")</f>
        <v>25.039760000000001</v>
      </c>
      <c r="I47" s="6">
        <f>IF($C47=1,Table!K23,"")</f>
        <v>25.768419999999999</v>
      </c>
      <c r="J47" s="6">
        <f>IF($C47=1,Table!L23,"")</f>
        <v>26.27308</v>
      </c>
      <c r="K47" s="6">
        <f>IF($C47=1,Table!M23,"")</f>
        <v>26.777750000000001</v>
      </c>
      <c r="L47" s="6">
        <f>IF($C47=1,Table!N23,"")</f>
        <v>27.506409999999999</v>
      </c>
      <c r="M47" s="40">
        <f>IF(C47=1,((Table!K23-Table!L23)/NORMSINV(0.3))^2,"")</f>
        <v>0.92612914484813846</v>
      </c>
    </row>
    <row r="48" spans="1:19" x14ac:dyDescent="0.2">
      <c r="A48">
        <f t="shared" si="3"/>
        <v>17</v>
      </c>
      <c r="B48" s="53">
        <f>MAX(0,Table!I24-75)</f>
        <v>10.792550000000006</v>
      </c>
      <c r="C48">
        <f t="shared" si="1"/>
        <v>1</v>
      </c>
      <c r="D48" s="6">
        <f>IF($C48=1,Table!F24,"")</f>
        <v>651.34749999999997</v>
      </c>
      <c r="E48" s="6">
        <f>IF($C48=1,Table!G24,"")</f>
        <v>625.35095999999999</v>
      </c>
      <c r="F48" s="6">
        <f>IF($C48=1,Table!H24,"")</f>
        <v>25.99654</v>
      </c>
      <c r="G48" s="6">
        <f t="shared" si="2"/>
        <v>10.792550000000006</v>
      </c>
      <c r="H48" s="6">
        <f>IF($C48=1,Table!J24,"")</f>
        <v>24.739370000000001</v>
      </c>
      <c r="I48" s="6">
        <f>IF($C48=1,Table!K24,"")</f>
        <v>25.482119999999998</v>
      </c>
      <c r="J48" s="6">
        <f>IF($C48=1,Table!L24,"")</f>
        <v>25.99654</v>
      </c>
      <c r="K48" s="6">
        <f>IF($C48=1,Table!M24,"")</f>
        <v>26.51097</v>
      </c>
      <c r="L48" s="6">
        <f>IF($C48=1,Table!N24,"")</f>
        <v>27.253710000000002</v>
      </c>
      <c r="M48" s="40">
        <f>IF(C48=1,((Table!K24-Table!L24)/NORMSINV(0.3))^2,"")</f>
        <v>0.96229776002443246</v>
      </c>
    </row>
    <row r="49" spans="1:13" x14ac:dyDescent="0.2">
      <c r="A49">
        <f t="shared" si="3"/>
        <v>18</v>
      </c>
      <c r="B49" s="53">
        <f>MAX(0,Table!I25-75)</f>
        <v>10.168170000000003</v>
      </c>
      <c r="C49">
        <f t="shared" si="1"/>
        <v>1</v>
      </c>
      <c r="D49" s="6">
        <f>IF($C49=1,Table!F25,"")</f>
        <v>637.31259999999997</v>
      </c>
      <c r="E49" s="6">
        <f>IF($C49=1,Table!G25,"")</f>
        <v>613.16967</v>
      </c>
      <c r="F49" s="6">
        <f>IF($C49=1,Table!H25,"")</f>
        <v>24.14293</v>
      </c>
      <c r="G49" s="6">
        <f t="shared" si="2"/>
        <v>10.168170000000003</v>
      </c>
      <c r="H49" s="6">
        <f>IF($C49=1,Table!J25,"")</f>
        <v>22.72625</v>
      </c>
      <c r="I49" s="6">
        <f>IF($C49=1,Table!K25,"")</f>
        <v>23.56324</v>
      </c>
      <c r="J49" s="6">
        <f>IF($C49=1,Table!L25,"")</f>
        <v>24.14293</v>
      </c>
      <c r="K49" s="6">
        <f>IF($C49=1,Table!M25,"")</f>
        <v>24.722629999999999</v>
      </c>
      <c r="L49" s="6">
        <f>IF($C49=1,Table!N25,"")</f>
        <v>25.559619999999999</v>
      </c>
      <c r="M49" s="40">
        <f>IF(C49=1,((Table!K25-Table!L25)/NORMSINV(0.3))^2,"")</f>
        <v>1.2219836691230259</v>
      </c>
    </row>
    <row r="50" spans="1:13" x14ac:dyDescent="0.2">
      <c r="A50">
        <f t="shared" si="3"/>
        <v>19</v>
      </c>
      <c r="B50" s="53">
        <f>MAX(0,Table!I26-75)</f>
        <v>8.1116499999999974</v>
      </c>
      <c r="C50">
        <f t="shared" si="1"/>
        <v>1</v>
      </c>
      <c r="D50" s="6">
        <f>IF($C50=1,Table!F26,"")</f>
        <v>625.51099999999997</v>
      </c>
      <c r="E50" s="6">
        <f>IF($C50=1,Table!G26,"")</f>
        <v>603.99243999999999</v>
      </c>
      <c r="F50" s="6">
        <f>IF($C50=1,Table!H26,"")</f>
        <v>21.518560000000001</v>
      </c>
      <c r="G50" s="6">
        <f t="shared" si="2"/>
        <v>8.1116499999999974</v>
      </c>
      <c r="H50" s="6">
        <f>IF($C50=1,Table!J26,"")</f>
        <v>20.082889999999999</v>
      </c>
      <c r="I50" s="6">
        <f>IF($C50=1,Table!K26,"")</f>
        <v>20.931100000000001</v>
      </c>
      <c r="J50" s="6">
        <f>IF($C50=1,Table!L26,"")</f>
        <v>21.518560000000001</v>
      </c>
      <c r="K50" s="6">
        <f>IF($C50=1,Table!M26,"")</f>
        <v>22.106020000000001</v>
      </c>
      <c r="L50" s="6">
        <f>IF($C50=1,Table!N26,"")</f>
        <v>22.954229999999999</v>
      </c>
      <c r="M50" s="40">
        <f>IF(C50=1,((Table!K26-Table!L26)/NORMSINV(0.3))^2,"")</f>
        <v>1.2549614537914933</v>
      </c>
    </row>
    <row r="51" spans="1:13" x14ac:dyDescent="0.2">
      <c r="A51">
        <f t="shared" si="3"/>
        <v>20</v>
      </c>
      <c r="B51" s="53">
        <f>MAX(0,Table!I27-75)</f>
        <v>5.0738199999999978</v>
      </c>
      <c r="C51">
        <f t="shared" si="1"/>
        <v>1</v>
      </c>
      <c r="D51" s="6">
        <f>IF($C51=1,Table!F27,"")</f>
        <v>617.30489999999998</v>
      </c>
      <c r="E51" s="6">
        <f>IF($C51=1,Table!G27,"")</f>
        <v>597.58105999999998</v>
      </c>
      <c r="F51" s="6">
        <f>IF($C51=1,Table!H27,"")</f>
        <v>19.723839999999999</v>
      </c>
      <c r="G51" s="6">
        <f t="shared" si="2"/>
        <v>5.0738199999999978</v>
      </c>
      <c r="H51" s="6">
        <f>IF($C51=1,Table!J27,"")</f>
        <v>18.3201</v>
      </c>
      <c r="I51" s="6">
        <f>IF($C51=1,Table!K27,"")</f>
        <v>19.149439999999998</v>
      </c>
      <c r="J51" s="6">
        <f>IF($C51=1,Table!L27,"")</f>
        <v>19.723839999999999</v>
      </c>
      <c r="K51" s="6">
        <f>IF($C51=1,Table!M27,"")</f>
        <v>20.29823</v>
      </c>
      <c r="L51" s="6">
        <f>IF($C51=1,Table!N27,"")</f>
        <v>21.127569999999999</v>
      </c>
      <c r="M51" s="40">
        <f>IF(C51=1,((Table!K27-Table!L27)/NORMSINV(0.3))^2,"")</f>
        <v>1.1997828430364239</v>
      </c>
    </row>
    <row r="52" spans="1:13" x14ac:dyDescent="0.2">
      <c r="A52">
        <f t="shared" si="3"/>
        <v>21</v>
      </c>
      <c r="B52" s="53">
        <f>MAX(0,Table!I28-75)</f>
        <v>1.8079800000000006</v>
      </c>
      <c r="C52" t="str">
        <f t="shared" si="1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2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40" t="str">
        <f>IF(C52=1,((Table!K28-Table!L28)/NORMSINV(0.3))^2,"")</f>
        <v/>
      </c>
    </row>
    <row r="53" spans="1:13" x14ac:dyDescent="0.2">
      <c r="A53">
        <f t="shared" si="3"/>
        <v>22</v>
      </c>
      <c r="B53" s="53">
        <f>MAX(0,Table!I29-75)</f>
        <v>0</v>
      </c>
      <c r="C53" t="str">
        <f t="shared" si="1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2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0" t="str">
        <f>IF(C53=1,((Table!K29-Table!L29)/NORMSINV(0.3))^2,"")</f>
        <v/>
      </c>
    </row>
    <row r="54" spans="1:13" x14ac:dyDescent="0.2">
      <c r="A54">
        <f t="shared" si="3"/>
        <v>23</v>
      </c>
      <c r="B54" s="53">
        <f>MAX(0,Table!I30-75)</f>
        <v>0</v>
      </c>
      <c r="C54" t="str">
        <f t="shared" si="1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2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0" t="str">
        <f>IF(C54=1,((Table!K30-Table!L30)/NORMSINV(0.3))^2,"")</f>
        <v/>
      </c>
    </row>
    <row r="55" spans="1:13" x14ac:dyDescent="0.2">
      <c r="A55">
        <f t="shared" si="3"/>
        <v>24</v>
      </c>
      <c r="B55" s="53">
        <f>MAX(0,Table!I31-75)</f>
        <v>0</v>
      </c>
      <c r="C55" t="str">
        <f t="shared" si="1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2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0" t="str">
        <f>IF(C55=1,((Table!K31-Table!L31)/NORMSINV(0.3))^2,"")</f>
        <v/>
      </c>
    </row>
    <row r="56" spans="1:13" x14ac:dyDescent="0.2">
      <c r="A56" s="44" t="s">
        <v>241</v>
      </c>
      <c r="D56">
        <f>AVERAGE(D32:D55)</f>
        <v>650.50252499999999</v>
      </c>
      <c r="E56">
        <f>AVERAGE(E32:E55)</f>
        <v>625.47149375000004</v>
      </c>
      <c r="F56">
        <f>AVERAGE(F32:F55)</f>
        <v>25.031031250000002</v>
      </c>
      <c r="G56" s="6">
        <f>SUM(G32:G55)</f>
        <v>70.388510000000011</v>
      </c>
      <c r="H56">
        <f t="shared" ref="H56:L56" si="4">AVERAGE(H32:H55)</f>
        <v>23.731726249999998</v>
      </c>
      <c r="I56">
        <f t="shared" si="4"/>
        <v>24.499367500000002</v>
      </c>
      <c r="J56">
        <f t="shared" si="4"/>
        <v>25.031031250000002</v>
      </c>
      <c r="K56">
        <f t="shared" si="4"/>
        <v>25.562697500000002</v>
      </c>
      <c r="L56">
        <f t="shared" si="4"/>
        <v>26.330338749999999</v>
      </c>
      <c r="M56" s="53">
        <f>SQRT((1/SUM(C32:C55)^2*SUM(M32:M55)))</f>
        <v>0.35940387714713395</v>
      </c>
    </row>
    <row r="57" spans="1:13" x14ac:dyDescent="0.2">
      <c r="G57" s="6"/>
      <c r="H57" s="6"/>
    </row>
    <row r="58" spans="1:13" x14ac:dyDescent="0.2">
      <c r="G58" s="6"/>
      <c r="H58" s="6"/>
    </row>
    <row r="59" spans="1:13" x14ac:dyDescent="0.2">
      <c r="G59" s="6"/>
      <c r="H59" s="6"/>
    </row>
    <row r="60" spans="1:13" x14ac:dyDescent="0.2">
      <c r="G60" s="6"/>
      <c r="H60" s="6"/>
    </row>
    <row r="61" spans="1:13" x14ac:dyDescent="0.2"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242"/>
  <sheetViews>
    <sheetView zoomScaleNormal="100" workbookViewId="0">
      <pane xSplit="7" ySplit="1" topLeftCell="H2" activePane="bottomRight" state="frozen"/>
      <selection activeCell="G33" sqref="G33"/>
      <selection pane="topRight" activeCell="G33" sqref="G33"/>
      <selection pane="bottomLeft" activeCell="G33" sqref="G33"/>
      <selection pane="bottomRight" activeCell="H2" sqref="H2"/>
    </sheetView>
  </sheetViews>
  <sheetFormatPr defaultRowHeight="12.75" x14ac:dyDescent="0.2"/>
  <cols>
    <col min="1" max="1" width="31" bestFit="1" customWidth="1"/>
    <col min="2" max="2" width="15.5703125" customWidth="1"/>
    <col min="3" max="3" width="16.42578125" customWidth="1"/>
    <col min="4" max="4" width="11.85546875" customWidth="1"/>
    <col min="5" max="5" width="16" customWidth="1"/>
    <col min="6" max="6" width="10" customWidth="1"/>
    <col min="7" max="7" width="8" customWidth="1"/>
    <col min="8" max="31" width="10" customWidth="1"/>
    <col min="32" max="40" width="12.85546875" customWidth="1"/>
    <col min="41" max="55" width="14" customWidth="1"/>
    <col min="56" max="64" width="12.85546875" customWidth="1"/>
    <col min="65" max="79" width="14" customWidth="1"/>
    <col min="80" max="88" width="12.85546875" customWidth="1"/>
    <col min="89" max="103" width="14" customWidth="1"/>
    <col min="104" max="112" width="12.85546875" customWidth="1"/>
    <col min="113" max="127" width="14" customWidth="1"/>
    <col min="128" max="136" width="12.85546875" customWidth="1"/>
    <col min="137" max="151" width="14" customWidth="1"/>
    <col min="152" max="160" width="9" customWidth="1"/>
    <col min="161" max="175" width="9.7109375" customWidth="1"/>
    <col min="176" max="177" width="12" bestFit="1" customWidth="1"/>
    <col min="178" max="178" width="9.28515625" customWidth="1"/>
    <col min="179" max="181" width="10.140625" bestFit="1" customWidth="1"/>
  </cols>
  <sheetData>
    <row r="1" spans="1:176" x14ac:dyDescent="0.2">
      <c r="A1" s="69" t="s">
        <v>216</v>
      </c>
      <c r="B1" t="s">
        <v>217</v>
      </c>
      <c r="C1" t="s">
        <v>220</v>
      </c>
      <c r="D1" t="s">
        <v>244</v>
      </c>
      <c r="E1" t="s">
        <v>245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  <c r="R1" t="s">
        <v>179</v>
      </c>
      <c r="S1" t="s">
        <v>180</v>
      </c>
      <c r="T1" t="s">
        <v>181</v>
      </c>
      <c r="U1" t="s">
        <v>182</v>
      </c>
      <c r="V1" t="s">
        <v>183</v>
      </c>
      <c r="W1" t="s">
        <v>184</v>
      </c>
      <c r="X1" t="s">
        <v>185</v>
      </c>
      <c r="Y1" t="s">
        <v>186</v>
      </c>
      <c r="Z1" t="s">
        <v>187</v>
      </c>
      <c r="AA1" t="s">
        <v>188</v>
      </c>
      <c r="AB1" t="s">
        <v>189</v>
      </c>
      <c r="AC1" t="s">
        <v>190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59</v>
      </c>
      <c r="BP1" t="s">
        <v>60</v>
      </c>
      <c r="BQ1" t="s">
        <v>61</v>
      </c>
      <c r="BR1" t="s">
        <v>62</v>
      </c>
      <c r="BS1" t="s">
        <v>63</v>
      </c>
      <c r="BT1" t="s">
        <v>64</v>
      </c>
      <c r="BU1" t="s">
        <v>65</v>
      </c>
      <c r="BV1" t="s">
        <v>66</v>
      </c>
      <c r="BW1" t="s">
        <v>67</v>
      </c>
      <c r="BX1" t="s">
        <v>68</v>
      </c>
      <c r="BY1" t="s">
        <v>69</v>
      </c>
      <c r="BZ1" t="s">
        <v>70</v>
      </c>
      <c r="CA1" t="s">
        <v>71</v>
      </c>
      <c r="CB1" t="s">
        <v>72</v>
      </c>
      <c r="CC1" t="s">
        <v>73</v>
      </c>
      <c r="CD1" t="s">
        <v>74</v>
      </c>
      <c r="CE1" t="s">
        <v>75</v>
      </c>
      <c r="CF1" t="s">
        <v>76</v>
      </c>
      <c r="CG1" t="s">
        <v>77</v>
      </c>
      <c r="CH1" t="s">
        <v>78</v>
      </c>
      <c r="CI1" t="s">
        <v>79</v>
      </c>
      <c r="CJ1" t="s">
        <v>80</v>
      </c>
      <c r="CK1" t="s">
        <v>81</v>
      </c>
      <c r="CL1" t="s">
        <v>82</v>
      </c>
      <c r="CM1" t="s">
        <v>83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93</v>
      </c>
      <c r="CX1" t="s">
        <v>94</v>
      </c>
      <c r="CY1" t="s">
        <v>95</v>
      </c>
      <c r="CZ1" t="s">
        <v>96</v>
      </c>
      <c r="DA1" t="s">
        <v>97</v>
      </c>
      <c r="DB1" t="s">
        <v>98</v>
      </c>
      <c r="DC1" t="s">
        <v>99</v>
      </c>
      <c r="DD1" t="s">
        <v>100</v>
      </c>
      <c r="DE1" t="s">
        <v>101</v>
      </c>
      <c r="DF1" t="s">
        <v>102</v>
      </c>
      <c r="DG1" t="s">
        <v>103</v>
      </c>
      <c r="DH1" t="s">
        <v>104</v>
      </c>
      <c r="DI1" t="s">
        <v>105</v>
      </c>
      <c r="DJ1" t="s">
        <v>106</v>
      </c>
      <c r="DK1" t="s">
        <v>107</v>
      </c>
      <c r="DL1" t="s">
        <v>108</v>
      </c>
      <c r="DM1" t="s">
        <v>109</v>
      </c>
      <c r="DN1" t="s">
        <v>110</v>
      </c>
      <c r="DO1" t="s">
        <v>111</v>
      </c>
      <c r="DP1" t="s">
        <v>112</v>
      </c>
      <c r="DQ1" t="s">
        <v>113</v>
      </c>
      <c r="DR1" t="s">
        <v>114</v>
      </c>
      <c r="DS1" t="s">
        <v>115</v>
      </c>
      <c r="DT1" t="s">
        <v>116</v>
      </c>
      <c r="DU1" t="s">
        <v>117</v>
      </c>
      <c r="DV1" t="s">
        <v>118</v>
      </c>
      <c r="DW1" t="s">
        <v>119</v>
      </c>
      <c r="DX1" t="s">
        <v>120</v>
      </c>
      <c r="DY1" t="s">
        <v>121</v>
      </c>
      <c r="DZ1" t="s">
        <v>122</v>
      </c>
      <c r="EA1" t="s">
        <v>123</v>
      </c>
      <c r="EB1" t="s">
        <v>124</v>
      </c>
      <c r="EC1" t="s">
        <v>125</v>
      </c>
      <c r="ED1" t="s">
        <v>126</v>
      </c>
      <c r="EE1" t="s">
        <v>127</v>
      </c>
      <c r="EF1" t="s">
        <v>128</v>
      </c>
      <c r="EG1" t="s">
        <v>129</v>
      </c>
      <c r="EH1" t="s">
        <v>130</v>
      </c>
      <c r="EI1" t="s">
        <v>131</v>
      </c>
      <c r="EJ1" t="s">
        <v>132</v>
      </c>
      <c r="EK1" t="s">
        <v>133</v>
      </c>
      <c r="EL1" t="s">
        <v>134</v>
      </c>
      <c r="EM1" t="s">
        <v>135</v>
      </c>
      <c r="EN1" t="s">
        <v>136</v>
      </c>
      <c r="EO1" t="s">
        <v>137</v>
      </c>
      <c r="EP1" t="s">
        <v>138</v>
      </c>
      <c r="EQ1" t="s">
        <v>139</v>
      </c>
      <c r="ER1" t="s">
        <v>140</v>
      </c>
      <c r="ES1" t="s">
        <v>141</v>
      </c>
      <c r="ET1" t="s">
        <v>142</v>
      </c>
      <c r="EU1" t="s">
        <v>143</v>
      </c>
      <c r="EV1" t="s">
        <v>144</v>
      </c>
      <c r="EW1" t="s">
        <v>145</v>
      </c>
      <c r="EX1" t="s">
        <v>146</v>
      </c>
      <c r="EY1" t="s">
        <v>147</v>
      </c>
      <c r="EZ1" t="s">
        <v>148</v>
      </c>
      <c r="FA1" t="s">
        <v>149</v>
      </c>
      <c r="FB1" t="s">
        <v>150</v>
      </c>
      <c r="FC1" t="s">
        <v>151</v>
      </c>
      <c r="FD1" t="s">
        <v>152</v>
      </c>
      <c r="FE1" t="s">
        <v>153</v>
      </c>
      <c r="FF1" t="s">
        <v>154</v>
      </c>
      <c r="FG1" t="s">
        <v>155</v>
      </c>
      <c r="FH1" t="s">
        <v>156</v>
      </c>
      <c r="FI1" t="s">
        <v>157</v>
      </c>
      <c r="FJ1" t="s">
        <v>158</v>
      </c>
      <c r="FK1" t="s">
        <v>159</v>
      </c>
      <c r="FL1" t="s">
        <v>160</v>
      </c>
      <c r="FM1" t="s">
        <v>161</v>
      </c>
      <c r="FN1" t="s">
        <v>162</v>
      </c>
      <c r="FO1" t="s">
        <v>163</v>
      </c>
      <c r="FP1" t="s">
        <v>164</v>
      </c>
      <c r="FQ1" t="s">
        <v>165</v>
      </c>
      <c r="FR1" t="s">
        <v>256</v>
      </c>
      <c r="FT1" s="44"/>
    </row>
    <row r="2" spans="1:176" x14ac:dyDescent="0.2">
      <c r="A2" t="s">
        <v>1</v>
      </c>
      <c r="B2" t="s">
        <v>202</v>
      </c>
      <c r="C2" s="70">
        <v>41773</v>
      </c>
      <c r="D2">
        <v>0</v>
      </c>
      <c r="E2" s="70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T2" s="44"/>
    </row>
    <row r="3" spans="1:176" x14ac:dyDescent="0.2">
      <c r="A3" t="s">
        <v>1</v>
      </c>
      <c r="B3" t="s">
        <v>202</v>
      </c>
      <c r="C3" s="70">
        <v>41820</v>
      </c>
      <c r="D3">
        <v>14</v>
      </c>
      <c r="E3" s="70">
        <v>175</v>
      </c>
      <c r="F3">
        <v>7.0074170000000002</v>
      </c>
      <c r="G3">
        <v>6.8018640000000001</v>
      </c>
      <c r="H3">
        <v>6.6128299999999998</v>
      </c>
      <c r="I3">
        <v>6.9426600000000001</v>
      </c>
      <c r="J3">
        <v>7.5316960000000002</v>
      </c>
      <c r="K3">
        <v>8.0973570000000006</v>
      </c>
      <c r="L3">
        <v>8.6956679999999995</v>
      </c>
      <c r="M3">
        <v>10.151109999999999</v>
      </c>
      <c r="N3">
        <v>11.58118</v>
      </c>
      <c r="O3">
        <v>13.36589</v>
      </c>
      <c r="P3">
        <v>14.18477</v>
      </c>
      <c r="Q3">
        <v>14.48611</v>
      </c>
      <c r="R3">
        <v>14.495649999999999</v>
      </c>
      <c r="S3">
        <v>14.51694</v>
      </c>
      <c r="T3">
        <v>14.15292</v>
      </c>
      <c r="U3">
        <v>13.800190000000001</v>
      </c>
      <c r="V3">
        <v>13.74953</v>
      </c>
      <c r="W3">
        <v>13.37885</v>
      </c>
      <c r="X3">
        <v>12.565239999999999</v>
      </c>
      <c r="Y3">
        <v>12.20614</v>
      </c>
      <c r="Z3">
        <v>11.68243</v>
      </c>
      <c r="AA3">
        <v>10.84901</v>
      </c>
      <c r="AB3">
        <v>9.3800679999999996</v>
      </c>
      <c r="AC3">
        <v>8.1471769999999992</v>
      </c>
      <c r="AD3">
        <v>-1.8731899999999999E-2</v>
      </c>
      <c r="AE3">
        <v>-6.5492800000000004E-2</v>
      </c>
      <c r="AF3">
        <v>-5.81196E-2</v>
      </c>
      <c r="AG3">
        <v>-7.8830800000000006E-2</v>
      </c>
      <c r="AH3">
        <v>-7.0267700000000002E-2</v>
      </c>
      <c r="AI3">
        <v>7.3160600000000006E-2</v>
      </c>
      <c r="AJ3">
        <v>1.21592E-2</v>
      </c>
      <c r="AK3">
        <v>-1.6213600000000002E-2</v>
      </c>
      <c r="AL3">
        <v>5.2906700000000001E-2</v>
      </c>
      <c r="AM3">
        <v>2.8697199999999999E-2</v>
      </c>
      <c r="AN3">
        <v>2.47806E-2</v>
      </c>
      <c r="AO3">
        <v>2.7629999999999999E-4</v>
      </c>
      <c r="AP3">
        <v>1.6806499999999999E-2</v>
      </c>
      <c r="AQ3">
        <v>-1.3370399999999999E-2</v>
      </c>
      <c r="AR3">
        <v>-6.4556799999999998E-2</v>
      </c>
      <c r="AS3">
        <v>-8.1743800000000005E-2</v>
      </c>
      <c r="AT3">
        <v>-6.4268699999999998E-2</v>
      </c>
      <c r="AU3">
        <v>-4.5040900000000002E-2</v>
      </c>
      <c r="AV3">
        <v>3.8718700000000002E-2</v>
      </c>
      <c r="AW3">
        <v>5.2352599999999999E-2</v>
      </c>
      <c r="AX3">
        <v>2.5851499999999999E-2</v>
      </c>
      <c r="AY3">
        <v>-9.5134999999999994E-3</v>
      </c>
      <c r="AZ3">
        <v>7.2214000000000002E-3</v>
      </c>
      <c r="BA3">
        <v>-6.1573000000000001E-3</v>
      </c>
      <c r="BB3">
        <v>-1.1613500000000001E-2</v>
      </c>
      <c r="BC3">
        <v>-5.5227400000000003E-2</v>
      </c>
      <c r="BD3">
        <v>-4.8087999999999999E-2</v>
      </c>
      <c r="BE3">
        <v>-6.8367800000000006E-2</v>
      </c>
      <c r="BF3">
        <v>-5.8262500000000002E-2</v>
      </c>
      <c r="BG3">
        <v>8.2693799999999998E-2</v>
      </c>
      <c r="BH3">
        <v>2.0134200000000001E-2</v>
      </c>
      <c r="BI3">
        <v>-6.7051000000000003E-3</v>
      </c>
      <c r="BJ3">
        <v>6.7230399999999996E-2</v>
      </c>
      <c r="BK3">
        <v>4.2903799999999999E-2</v>
      </c>
      <c r="BL3">
        <v>3.8445399999999998E-2</v>
      </c>
      <c r="BM3">
        <v>1.06214E-2</v>
      </c>
      <c r="BN3">
        <v>2.65921E-2</v>
      </c>
      <c r="BO3">
        <v>-2.9397999999999998E-3</v>
      </c>
      <c r="BP3">
        <v>-5.4526400000000003E-2</v>
      </c>
      <c r="BQ3">
        <v>-7.1665800000000002E-2</v>
      </c>
      <c r="BR3">
        <v>-5.2658799999999999E-2</v>
      </c>
      <c r="BS3">
        <v>-3.0857200000000001E-2</v>
      </c>
      <c r="BT3">
        <v>5.1394200000000001E-2</v>
      </c>
      <c r="BU3">
        <v>6.3911599999999999E-2</v>
      </c>
      <c r="BV3">
        <v>3.7086099999999997E-2</v>
      </c>
      <c r="BW3">
        <v>-4.148E-4</v>
      </c>
      <c r="BX3">
        <v>1.55391E-2</v>
      </c>
      <c r="BY3">
        <v>2.8002000000000001E-3</v>
      </c>
      <c r="BZ3">
        <v>-6.6832999999999997E-3</v>
      </c>
      <c r="CA3">
        <v>-4.8117600000000003E-2</v>
      </c>
      <c r="CB3">
        <v>-4.1140099999999999E-2</v>
      </c>
      <c r="CC3">
        <v>-6.1121200000000001E-2</v>
      </c>
      <c r="CD3">
        <v>-4.9947699999999998E-2</v>
      </c>
      <c r="CE3">
        <v>8.9296399999999998E-2</v>
      </c>
      <c r="CF3">
        <v>2.5657699999999999E-2</v>
      </c>
      <c r="CG3">
        <v>-1.195E-4</v>
      </c>
      <c r="CH3">
        <v>7.7150899999999994E-2</v>
      </c>
      <c r="CI3">
        <v>5.27433E-2</v>
      </c>
      <c r="CJ3">
        <v>4.7909599999999997E-2</v>
      </c>
      <c r="CK3">
        <v>1.7786400000000001E-2</v>
      </c>
      <c r="CL3">
        <v>3.3369500000000003E-2</v>
      </c>
      <c r="CM3">
        <v>4.2842999999999996E-3</v>
      </c>
      <c r="CN3">
        <v>-4.7579299999999998E-2</v>
      </c>
      <c r="CO3">
        <v>-6.4685800000000002E-2</v>
      </c>
      <c r="CP3">
        <v>-4.4617799999999999E-2</v>
      </c>
      <c r="CQ3">
        <v>-2.10336E-2</v>
      </c>
      <c r="CR3">
        <v>6.0173200000000003E-2</v>
      </c>
      <c r="CS3">
        <v>7.1917300000000003E-2</v>
      </c>
      <c r="CT3">
        <v>4.4867200000000003E-2</v>
      </c>
      <c r="CU3">
        <v>5.8869999999999999E-3</v>
      </c>
      <c r="CV3">
        <v>2.1299800000000001E-2</v>
      </c>
      <c r="CW3">
        <v>9.0040999999999993E-3</v>
      </c>
      <c r="CX3">
        <v>-1.7531000000000001E-3</v>
      </c>
      <c r="CY3">
        <v>-4.1007799999999997E-2</v>
      </c>
      <c r="CZ3">
        <v>-3.4192199999999999E-2</v>
      </c>
      <c r="DA3">
        <v>-5.3874600000000002E-2</v>
      </c>
      <c r="DB3">
        <v>-4.1633000000000003E-2</v>
      </c>
      <c r="DC3">
        <v>9.5899100000000001E-2</v>
      </c>
      <c r="DD3">
        <v>3.1181199999999999E-2</v>
      </c>
      <c r="DE3">
        <v>6.4660999999999998E-3</v>
      </c>
      <c r="DF3">
        <v>8.7071499999999996E-2</v>
      </c>
      <c r="DG3">
        <v>6.2582700000000005E-2</v>
      </c>
      <c r="DH3">
        <v>5.7373800000000003E-2</v>
      </c>
      <c r="DI3">
        <v>2.4951399999999999E-2</v>
      </c>
      <c r="DJ3">
        <v>4.0147000000000002E-2</v>
      </c>
      <c r="DK3">
        <v>1.15085E-2</v>
      </c>
      <c r="DL3">
        <v>-4.06322E-2</v>
      </c>
      <c r="DM3">
        <v>-5.7705899999999997E-2</v>
      </c>
      <c r="DN3">
        <v>-3.6576900000000002E-2</v>
      </c>
      <c r="DO3">
        <v>-1.1209999999999999E-2</v>
      </c>
      <c r="DP3">
        <v>6.8952200000000005E-2</v>
      </c>
      <c r="DQ3">
        <v>7.9922999999999994E-2</v>
      </c>
      <c r="DR3">
        <v>5.2648300000000002E-2</v>
      </c>
      <c r="DS3">
        <v>1.21888E-2</v>
      </c>
      <c r="DT3">
        <v>2.7060600000000001E-2</v>
      </c>
      <c r="DU3">
        <v>1.5207999999999999E-2</v>
      </c>
      <c r="DV3">
        <v>5.3652999999999999E-3</v>
      </c>
      <c r="DW3">
        <v>-3.07424E-2</v>
      </c>
      <c r="DX3">
        <v>-2.4160500000000001E-2</v>
      </c>
      <c r="DY3">
        <v>-4.3411600000000002E-2</v>
      </c>
      <c r="DZ3">
        <v>-2.96277E-2</v>
      </c>
      <c r="EA3">
        <v>0.1054322</v>
      </c>
      <c r="EB3">
        <v>3.9156200000000002E-2</v>
      </c>
      <c r="EC3">
        <v>1.5974599999999999E-2</v>
      </c>
      <c r="ED3">
        <v>0.1013952</v>
      </c>
      <c r="EE3">
        <v>7.6789300000000005E-2</v>
      </c>
      <c r="EF3">
        <v>7.1038599999999993E-2</v>
      </c>
      <c r="EG3">
        <v>3.5296599999999997E-2</v>
      </c>
      <c r="EH3">
        <v>4.9932600000000001E-2</v>
      </c>
      <c r="EI3">
        <v>2.19391E-2</v>
      </c>
      <c r="EJ3">
        <v>-3.0601699999999999E-2</v>
      </c>
      <c r="EK3">
        <v>-4.7627900000000001E-2</v>
      </c>
      <c r="EL3">
        <v>-2.4967E-2</v>
      </c>
      <c r="EM3">
        <v>2.9737000000000001E-3</v>
      </c>
      <c r="EN3">
        <v>8.1627699999999997E-2</v>
      </c>
      <c r="EO3">
        <v>9.1482099999999997E-2</v>
      </c>
      <c r="EP3">
        <v>6.3882900000000006E-2</v>
      </c>
      <c r="EQ3">
        <v>2.1287500000000001E-2</v>
      </c>
      <c r="ER3">
        <v>3.5378199999999999E-2</v>
      </c>
      <c r="ES3">
        <v>2.4165499999999999E-2</v>
      </c>
      <c r="ET3">
        <v>69.906009999999995</v>
      </c>
      <c r="EU3">
        <v>68.616739999999993</v>
      </c>
      <c r="EV3">
        <v>67.302189999999996</v>
      </c>
      <c r="EW3">
        <v>66.032780000000002</v>
      </c>
      <c r="EX3">
        <v>64.989260000000002</v>
      </c>
      <c r="EY3">
        <v>64.209109999999995</v>
      </c>
      <c r="EZ3">
        <v>64.649690000000007</v>
      </c>
      <c r="FA3">
        <v>67.816149999999993</v>
      </c>
      <c r="FB3">
        <v>72.219639999999998</v>
      </c>
      <c r="FC3">
        <v>77.022350000000003</v>
      </c>
      <c r="FD3">
        <v>81.712980000000002</v>
      </c>
      <c r="FE3">
        <v>85.355119999999999</v>
      </c>
      <c r="FF3">
        <v>87.765699999999995</v>
      </c>
      <c r="FG3">
        <v>88.723460000000003</v>
      </c>
      <c r="FH3">
        <v>89.195250000000001</v>
      </c>
      <c r="FI3">
        <v>88.782349999999994</v>
      </c>
      <c r="FJ3">
        <v>87.43159</v>
      </c>
      <c r="FK3">
        <v>85.657650000000004</v>
      </c>
      <c r="FL3">
        <v>82.280540000000002</v>
      </c>
      <c r="FM3">
        <v>78.922399999999996</v>
      </c>
      <c r="FN3">
        <v>76.517359999999996</v>
      </c>
      <c r="FO3">
        <v>73.905069999999995</v>
      </c>
      <c r="FP3">
        <v>72.008129999999994</v>
      </c>
      <c r="FQ3">
        <v>70.809520000000006</v>
      </c>
      <c r="FR3">
        <v>1</v>
      </c>
      <c r="FT3" s="44"/>
    </row>
    <row r="4" spans="1:176" x14ac:dyDescent="0.2">
      <c r="A4" t="s">
        <v>1</v>
      </c>
      <c r="B4" t="s">
        <v>202</v>
      </c>
      <c r="C4" s="70">
        <v>41827</v>
      </c>
      <c r="D4">
        <v>7</v>
      </c>
      <c r="E4" s="70">
        <v>175</v>
      </c>
      <c r="F4">
        <v>6.7361000000000004</v>
      </c>
      <c r="G4">
        <v>6.5736239999999997</v>
      </c>
      <c r="H4">
        <v>6.4746540000000001</v>
      </c>
      <c r="I4">
        <v>6.7212259999999997</v>
      </c>
      <c r="J4">
        <v>7.3053129999999999</v>
      </c>
      <c r="K4">
        <v>7.6895680000000004</v>
      </c>
      <c r="L4">
        <v>8.7911629999999992</v>
      </c>
      <c r="M4">
        <v>9.6709490000000002</v>
      </c>
      <c r="N4">
        <v>10.81875</v>
      </c>
      <c r="O4">
        <v>12.40705</v>
      </c>
      <c r="P4">
        <v>12.95894</v>
      </c>
      <c r="Q4">
        <v>13.018560000000001</v>
      </c>
      <c r="R4">
        <v>13.12567</v>
      </c>
      <c r="S4">
        <v>13.10737</v>
      </c>
      <c r="T4">
        <v>13.150029999999999</v>
      </c>
      <c r="U4">
        <v>12.66184</v>
      </c>
      <c r="V4">
        <v>12.49776</v>
      </c>
      <c r="W4">
        <v>12.417920000000001</v>
      </c>
      <c r="X4">
        <v>11.84787</v>
      </c>
      <c r="Y4">
        <v>11.57474</v>
      </c>
      <c r="Z4">
        <v>11.04444</v>
      </c>
      <c r="AA4">
        <v>10.155250000000001</v>
      </c>
      <c r="AB4">
        <v>8.7609809999999992</v>
      </c>
      <c r="AC4">
        <v>7.5999990000000004</v>
      </c>
      <c r="AD4">
        <v>-4.05644E-2</v>
      </c>
      <c r="AE4">
        <v>-3.3404200000000002E-2</v>
      </c>
      <c r="AF4">
        <v>-3.39362E-2</v>
      </c>
      <c r="AG4">
        <v>-1.51369E-2</v>
      </c>
      <c r="AH4">
        <v>-2.6145000000000002E-2</v>
      </c>
      <c r="AI4">
        <v>1.1164500000000001E-2</v>
      </c>
      <c r="AJ4">
        <v>3.6699000000000002E-2</v>
      </c>
      <c r="AK4">
        <v>-1.8305700000000001E-2</v>
      </c>
      <c r="AL4">
        <v>-1.18724E-2</v>
      </c>
      <c r="AM4">
        <v>6.9199999999999999E-3</v>
      </c>
      <c r="AN4">
        <v>-2.4313999999999998E-3</v>
      </c>
      <c r="AO4">
        <v>-8.3304E-3</v>
      </c>
      <c r="AP4">
        <v>-3.5668999999999999E-2</v>
      </c>
      <c r="AQ4">
        <v>-3.41517E-2</v>
      </c>
      <c r="AR4">
        <v>-5.6976800000000001E-2</v>
      </c>
      <c r="AS4">
        <v>-3.6432399999999997E-2</v>
      </c>
      <c r="AT4">
        <v>-3.9129400000000002E-2</v>
      </c>
      <c r="AU4">
        <v>-2.42507E-2</v>
      </c>
      <c r="AV4">
        <v>-1.2807000000000001E-3</v>
      </c>
      <c r="AW4">
        <v>7.3997000000000004E-3</v>
      </c>
      <c r="AX4">
        <v>-2.2212699999999998E-2</v>
      </c>
      <c r="AY4">
        <v>-4.3440699999999999E-2</v>
      </c>
      <c r="AZ4">
        <v>-2.5298000000000001E-2</v>
      </c>
      <c r="BA4">
        <v>-3.1562800000000002E-2</v>
      </c>
      <c r="BB4">
        <v>-3.5761000000000001E-2</v>
      </c>
      <c r="BC4">
        <v>-2.74778E-2</v>
      </c>
      <c r="BD4">
        <v>-2.8262200000000001E-2</v>
      </c>
      <c r="BE4">
        <v>-8.0090000000000005E-3</v>
      </c>
      <c r="BF4">
        <v>-1.7873199999999999E-2</v>
      </c>
      <c r="BG4">
        <v>1.7468899999999999E-2</v>
      </c>
      <c r="BH4">
        <v>4.17439E-2</v>
      </c>
      <c r="BI4">
        <v>-1.3686800000000001E-2</v>
      </c>
      <c r="BJ4">
        <v>-5.2510999999999999E-3</v>
      </c>
      <c r="BK4">
        <v>1.51278E-2</v>
      </c>
      <c r="BL4">
        <v>5.5944999999999996E-3</v>
      </c>
      <c r="BM4">
        <v>-4.8089999999999998E-4</v>
      </c>
      <c r="BN4">
        <v>-2.8067100000000001E-2</v>
      </c>
      <c r="BO4">
        <v>-2.5463900000000001E-2</v>
      </c>
      <c r="BP4">
        <v>-4.8291100000000003E-2</v>
      </c>
      <c r="BQ4">
        <v>-2.9183299999999999E-2</v>
      </c>
      <c r="BR4">
        <v>-3.2547199999999998E-2</v>
      </c>
      <c r="BS4">
        <v>-1.7584700000000002E-2</v>
      </c>
      <c r="BT4">
        <v>6.0305999999999997E-3</v>
      </c>
      <c r="BU4">
        <v>1.6877799999999998E-2</v>
      </c>
      <c r="BV4">
        <v>-1.3599099999999999E-2</v>
      </c>
      <c r="BW4">
        <v>-3.7040299999999998E-2</v>
      </c>
      <c r="BX4">
        <v>-1.96116E-2</v>
      </c>
      <c r="BY4">
        <v>-2.4832699999999999E-2</v>
      </c>
      <c r="BZ4">
        <v>-3.2434200000000003E-2</v>
      </c>
      <c r="CA4">
        <v>-2.3373100000000001E-2</v>
      </c>
      <c r="CB4">
        <v>-2.4332400000000001E-2</v>
      </c>
      <c r="CC4">
        <v>-3.0722000000000002E-3</v>
      </c>
      <c r="CD4">
        <v>-1.2144200000000001E-2</v>
      </c>
      <c r="CE4">
        <v>2.1835299999999998E-2</v>
      </c>
      <c r="CF4">
        <v>4.5237899999999998E-2</v>
      </c>
      <c r="CG4">
        <v>-1.04878E-2</v>
      </c>
      <c r="CH4">
        <v>-6.6520000000000001E-4</v>
      </c>
      <c r="CI4">
        <v>2.0812500000000001E-2</v>
      </c>
      <c r="CJ4">
        <v>1.11532E-2</v>
      </c>
      <c r="CK4">
        <v>4.9557000000000004E-3</v>
      </c>
      <c r="CL4">
        <v>-2.2801999999999999E-2</v>
      </c>
      <c r="CM4">
        <v>-1.94468E-2</v>
      </c>
      <c r="CN4">
        <v>-4.2275300000000002E-2</v>
      </c>
      <c r="CO4">
        <v>-2.4162599999999999E-2</v>
      </c>
      <c r="CP4">
        <v>-2.79884E-2</v>
      </c>
      <c r="CQ4">
        <v>-1.29678E-2</v>
      </c>
      <c r="CR4">
        <v>1.1094400000000001E-2</v>
      </c>
      <c r="CS4">
        <v>2.3442299999999999E-2</v>
      </c>
      <c r="CT4">
        <v>-7.6334000000000003E-3</v>
      </c>
      <c r="CU4">
        <v>-3.2607400000000002E-2</v>
      </c>
      <c r="CV4">
        <v>-1.5673200000000002E-2</v>
      </c>
      <c r="CW4">
        <v>-2.0171399999999999E-2</v>
      </c>
      <c r="CX4">
        <v>-2.9107500000000001E-2</v>
      </c>
      <c r="CY4">
        <v>-1.9268500000000001E-2</v>
      </c>
      <c r="CZ4">
        <v>-2.04026E-2</v>
      </c>
      <c r="DA4">
        <v>1.8645999999999999E-3</v>
      </c>
      <c r="DB4">
        <v>-6.4152000000000002E-3</v>
      </c>
      <c r="DC4">
        <v>2.6201800000000001E-2</v>
      </c>
      <c r="DD4">
        <v>4.8731900000000002E-2</v>
      </c>
      <c r="DE4">
        <v>-7.2887999999999998E-3</v>
      </c>
      <c r="DF4">
        <v>3.9208000000000003E-3</v>
      </c>
      <c r="DG4">
        <v>2.6497199999999999E-2</v>
      </c>
      <c r="DH4">
        <v>1.6711899999999998E-2</v>
      </c>
      <c r="DI4">
        <v>1.0392200000000001E-2</v>
      </c>
      <c r="DJ4">
        <v>-1.7537000000000001E-2</v>
      </c>
      <c r="DK4">
        <v>-1.3429699999999999E-2</v>
      </c>
      <c r="DL4">
        <v>-3.6259600000000003E-2</v>
      </c>
      <c r="DM4">
        <v>-1.9141999999999999E-2</v>
      </c>
      <c r="DN4">
        <v>-2.3429599999999998E-2</v>
      </c>
      <c r="DO4">
        <v>-8.3510000000000008E-3</v>
      </c>
      <c r="DP4">
        <v>1.6158200000000001E-2</v>
      </c>
      <c r="DQ4">
        <v>3.00069E-2</v>
      </c>
      <c r="DR4">
        <v>-1.6676E-3</v>
      </c>
      <c r="DS4">
        <v>-2.8174500000000002E-2</v>
      </c>
      <c r="DT4">
        <v>-1.17348E-2</v>
      </c>
      <c r="DU4">
        <v>-1.55102E-2</v>
      </c>
      <c r="DV4">
        <v>-2.4304099999999999E-2</v>
      </c>
      <c r="DW4">
        <v>-1.3342100000000001E-2</v>
      </c>
      <c r="DX4">
        <v>-1.47286E-2</v>
      </c>
      <c r="DY4">
        <v>8.9925000000000005E-3</v>
      </c>
      <c r="DZ4">
        <v>1.8565999999999999E-3</v>
      </c>
      <c r="EA4">
        <v>3.2506199999999999E-2</v>
      </c>
      <c r="EB4">
        <v>5.3776699999999997E-2</v>
      </c>
      <c r="EC4">
        <v>-2.6698999999999998E-3</v>
      </c>
      <c r="ED4">
        <v>1.05421E-2</v>
      </c>
      <c r="EE4">
        <v>3.4705E-2</v>
      </c>
      <c r="EF4">
        <v>2.4737800000000001E-2</v>
      </c>
      <c r="EG4">
        <v>1.82417E-2</v>
      </c>
      <c r="EH4">
        <v>-9.9351000000000005E-3</v>
      </c>
      <c r="EI4">
        <v>-4.7419999999999997E-3</v>
      </c>
      <c r="EJ4">
        <v>-2.7573899999999998E-2</v>
      </c>
      <c r="EK4">
        <v>-1.18929E-2</v>
      </c>
      <c r="EL4">
        <v>-1.6847399999999998E-2</v>
      </c>
      <c r="EM4">
        <v>-1.6849E-3</v>
      </c>
      <c r="EN4">
        <v>2.34696E-2</v>
      </c>
      <c r="EO4">
        <v>3.9484999999999999E-2</v>
      </c>
      <c r="EP4">
        <v>6.9459999999999999E-3</v>
      </c>
      <c r="EQ4">
        <v>-2.1774100000000001E-2</v>
      </c>
      <c r="ER4">
        <v>-6.0483999999999998E-3</v>
      </c>
      <c r="ES4">
        <v>-8.7799999999999996E-3</v>
      </c>
      <c r="ET4">
        <v>66.254379999999998</v>
      </c>
      <c r="EU4">
        <v>65.371089999999995</v>
      </c>
      <c r="EV4">
        <v>64.441860000000005</v>
      </c>
      <c r="EW4">
        <v>64.174189999999996</v>
      </c>
      <c r="EX4">
        <v>63.438589999999998</v>
      </c>
      <c r="EY4">
        <v>62.751930000000002</v>
      </c>
      <c r="EZ4">
        <v>62.15305</v>
      </c>
      <c r="FA4">
        <v>63.36477</v>
      </c>
      <c r="FB4">
        <v>65.635239999999996</v>
      </c>
      <c r="FC4">
        <v>69.769289999999998</v>
      </c>
      <c r="FD4">
        <v>72.9786</v>
      </c>
      <c r="FE4">
        <v>74.470770000000002</v>
      </c>
      <c r="FF4">
        <v>77.422190000000001</v>
      </c>
      <c r="FG4">
        <v>78.919449999999998</v>
      </c>
      <c r="FH4">
        <v>80.004379999999998</v>
      </c>
      <c r="FI4">
        <v>79.927419999999998</v>
      </c>
      <c r="FJ4">
        <v>80.225849999999994</v>
      </c>
      <c r="FK4">
        <v>80.590450000000004</v>
      </c>
      <c r="FL4">
        <v>79.273099999999999</v>
      </c>
      <c r="FM4">
        <v>76.336879999999994</v>
      </c>
      <c r="FN4">
        <v>73.728890000000007</v>
      </c>
      <c r="FO4">
        <v>70.442729999999997</v>
      </c>
      <c r="FP4">
        <v>68.812129999999996</v>
      </c>
      <c r="FQ4">
        <v>67.303430000000006</v>
      </c>
      <c r="FR4">
        <v>1</v>
      </c>
      <c r="FT4" s="44"/>
    </row>
    <row r="5" spans="1:176" x14ac:dyDescent="0.2">
      <c r="A5" t="s">
        <v>1</v>
      </c>
      <c r="B5" t="s">
        <v>202</v>
      </c>
      <c r="C5" s="70">
        <v>41834</v>
      </c>
      <c r="D5">
        <v>0</v>
      </c>
      <c r="E5" s="70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T5" s="44"/>
    </row>
    <row r="6" spans="1:176" x14ac:dyDescent="0.2">
      <c r="A6" t="s">
        <v>1</v>
      </c>
      <c r="B6" t="s">
        <v>202</v>
      </c>
      <c r="C6" s="70">
        <v>41848</v>
      </c>
      <c r="D6">
        <v>6</v>
      </c>
      <c r="E6" s="70">
        <v>173</v>
      </c>
      <c r="F6">
        <v>6.6815239999999996</v>
      </c>
      <c r="G6">
        <v>6.4421059999999999</v>
      </c>
      <c r="H6">
        <v>6.2601240000000002</v>
      </c>
      <c r="I6">
        <v>6.5395830000000004</v>
      </c>
      <c r="J6">
        <v>7.2181839999999999</v>
      </c>
      <c r="K6">
        <v>7.7605240000000002</v>
      </c>
      <c r="L6">
        <v>8.8949580000000008</v>
      </c>
      <c r="M6">
        <v>9.8461730000000003</v>
      </c>
      <c r="N6">
        <v>10.952489999999999</v>
      </c>
      <c r="O6">
        <v>12.52327</v>
      </c>
      <c r="P6">
        <v>13.183199999999999</v>
      </c>
      <c r="Q6">
        <v>13.42722</v>
      </c>
      <c r="R6">
        <v>13.499140000000001</v>
      </c>
      <c r="S6">
        <v>13.63705</v>
      </c>
      <c r="T6">
        <v>13.482559999999999</v>
      </c>
      <c r="U6">
        <v>12.901389999999999</v>
      </c>
      <c r="V6">
        <v>12.597950000000001</v>
      </c>
      <c r="W6">
        <v>12.38721</v>
      </c>
      <c r="X6">
        <v>11.63031</v>
      </c>
      <c r="Y6">
        <v>11.540100000000001</v>
      </c>
      <c r="Z6">
        <v>11.128640000000001</v>
      </c>
      <c r="AA6">
        <v>10.44079</v>
      </c>
      <c r="AB6">
        <v>9.1285720000000001</v>
      </c>
      <c r="AC6">
        <v>7.8024680000000002</v>
      </c>
      <c r="AD6">
        <v>3.7992199999999997E-2</v>
      </c>
      <c r="AE6">
        <v>3.1552799999999999E-2</v>
      </c>
      <c r="AF6">
        <v>3.0291999999999999E-2</v>
      </c>
      <c r="AG6">
        <v>4.1689200000000003E-2</v>
      </c>
      <c r="AH6">
        <v>1.52572E-2</v>
      </c>
      <c r="AI6">
        <v>6.7160800000000007E-2</v>
      </c>
      <c r="AJ6">
        <v>1.66042E-2</v>
      </c>
      <c r="AK6">
        <v>1.8203299999999999E-2</v>
      </c>
      <c r="AL6">
        <v>1.4955100000000001E-2</v>
      </c>
      <c r="AM6">
        <v>2.8237499999999999E-2</v>
      </c>
      <c r="AN6">
        <v>5.2047200000000002E-2</v>
      </c>
      <c r="AO6">
        <v>5.8546500000000001E-2</v>
      </c>
      <c r="AP6">
        <v>7.1643799999999994E-2</v>
      </c>
      <c r="AQ6">
        <v>9.7706000000000001E-2</v>
      </c>
      <c r="AR6">
        <v>9.8087999999999995E-2</v>
      </c>
      <c r="AS6">
        <v>7.3159799999999997E-2</v>
      </c>
      <c r="AT6">
        <v>6.3502199999999995E-2</v>
      </c>
      <c r="AU6">
        <v>7.7899399999999994E-2</v>
      </c>
      <c r="AV6">
        <v>9.0683200000000005E-2</v>
      </c>
      <c r="AW6">
        <v>0.1052872</v>
      </c>
      <c r="AX6">
        <v>9.8325599999999999E-2</v>
      </c>
      <c r="AY6">
        <v>9.7525899999999999E-2</v>
      </c>
      <c r="AZ6">
        <v>0.1004757</v>
      </c>
      <c r="BA6">
        <v>9.2151700000000003E-2</v>
      </c>
      <c r="BB6">
        <v>4.8030700000000003E-2</v>
      </c>
      <c r="BC6">
        <v>4.2516900000000003E-2</v>
      </c>
      <c r="BD6">
        <v>4.1012699999999999E-2</v>
      </c>
      <c r="BE6">
        <v>5.2319400000000002E-2</v>
      </c>
      <c r="BF6">
        <v>2.6937699999999998E-2</v>
      </c>
      <c r="BG6">
        <v>7.7870099999999998E-2</v>
      </c>
      <c r="BH6">
        <v>2.5724299999999999E-2</v>
      </c>
      <c r="BI6">
        <v>2.8505099999999998E-2</v>
      </c>
      <c r="BJ6">
        <v>2.8445499999999999E-2</v>
      </c>
      <c r="BK6">
        <v>4.1433299999999999E-2</v>
      </c>
      <c r="BL6">
        <v>6.5650500000000001E-2</v>
      </c>
      <c r="BM6">
        <v>7.3981900000000003E-2</v>
      </c>
      <c r="BN6">
        <v>8.6630399999999996E-2</v>
      </c>
      <c r="BO6">
        <v>0.1150477</v>
      </c>
      <c r="BP6">
        <v>0.11444559999999999</v>
      </c>
      <c r="BQ6">
        <v>8.9117299999999997E-2</v>
      </c>
      <c r="BR6">
        <v>7.9975099999999993E-2</v>
      </c>
      <c r="BS6">
        <v>9.6943399999999999E-2</v>
      </c>
      <c r="BT6">
        <v>0.1085576</v>
      </c>
      <c r="BU6">
        <v>0.1235594</v>
      </c>
      <c r="BV6">
        <v>0.1159298</v>
      </c>
      <c r="BW6">
        <v>0.112817</v>
      </c>
      <c r="BX6">
        <v>0.1155317</v>
      </c>
      <c r="BY6">
        <v>0.1067921</v>
      </c>
      <c r="BZ6">
        <v>5.4983400000000002E-2</v>
      </c>
      <c r="CA6">
        <v>5.0110500000000002E-2</v>
      </c>
      <c r="CB6">
        <v>4.8437800000000003E-2</v>
      </c>
      <c r="CC6">
        <v>5.9681900000000003E-2</v>
      </c>
      <c r="CD6">
        <v>3.5027599999999999E-2</v>
      </c>
      <c r="CE6">
        <v>8.5287299999999996E-2</v>
      </c>
      <c r="CF6">
        <v>3.2040899999999997E-2</v>
      </c>
      <c r="CG6">
        <v>3.5639999999999998E-2</v>
      </c>
      <c r="CH6">
        <v>3.77889E-2</v>
      </c>
      <c r="CI6">
        <v>5.0572699999999998E-2</v>
      </c>
      <c r="CJ6">
        <v>7.5072100000000003E-2</v>
      </c>
      <c r="CK6">
        <v>8.4672399999999995E-2</v>
      </c>
      <c r="CL6">
        <v>9.7010100000000002E-2</v>
      </c>
      <c r="CM6">
        <v>0.12705849999999999</v>
      </c>
      <c r="CN6">
        <v>0.12577479999999999</v>
      </c>
      <c r="CO6">
        <v>0.1001693</v>
      </c>
      <c r="CP6">
        <v>9.1384199999999999E-2</v>
      </c>
      <c r="CQ6">
        <v>0.1101333</v>
      </c>
      <c r="CR6">
        <v>0.1209374</v>
      </c>
      <c r="CS6">
        <v>0.13621469999999999</v>
      </c>
      <c r="CT6">
        <v>0.1281224</v>
      </c>
      <c r="CU6">
        <v>0.1234075</v>
      </c>
      <c r="CV6">
        <v>0.1259594</v>
      </c>
      <c r="CW6">
        <v>0.11693190000000001</v>
      </c>
      <c r="CX6">
        <v>6.1936100000000001E-2</v>
      </c>
      <c r="CY6">
        <v>5.7704199999999997E-2</v>
      </c>
      <c r="CZ6">
        <v>5.58629E-2</v>
      </c>
      <c r="DA6">
        <v>6.7044300000000001E-2</v>
      </c>
      <c r="DB6">
        <v>4.3117500000000003E-2</v>
      </c>
      <c r="DC6">
        <v>9.2704499999999995E-2</v>
      </c>
      <c r="DD6">
        <v>3.83574E-2</v>
      </c>
      <c r="DE6">
        <v>4.2775000000000001E-2</v>
      </c>
      <c r="DF6">
        <v>4.7132300000000002E-2</v>
      </c>
      <c r="DG6">
        <v>5.9712000000000001E-2</v>
      </c>
      <c r="DH6">
        <v>8.4493700000000005E-2</v>
      </c>
      <c r="DI6">
        <v>9.53629E-2</v>
      </c>
      <c r="DJ6">
        <v>0.10738979999999999</v>
      </c>
      <c r="DK6">
        <v>0.13906930000000001</v>
      </c>
      <c r="DL6">
        <v>0.13710410000000001</v>
      </c>
      <c r="DM6">
        <v>0.1112214</v>
      </c>
      <c r="DN6">
        <v>0.1027933</v>
      </c>
      <c r="DO6">
        <v>0.12332319999999999</v>
      </c>
      <c r="DP6">
        <v>0.1333172</v>
      </c>
      <c r="DQ6">
        <v>0.1488699</v>
      </c>
      <c r="DR6">
        <v>0.140315</v>
      </c>
      <c r="DS6">
        <v>0.13399810000000001</v>
      </c>
      <c r="DT6">
        <v>0.13638719999999999</v>
      </c>
      <c r="DU6">
        <v>0.12707180000000001</v>
      </c>
      <c r="DV6">
        <v>7.19746E-2</v>
      </c>
      <c r="DW6">
        <v>6.8668300000000002E-2</v>
      </c>
      <c r="DX6">
        <v>6.6583600000000007E-2</v>
      </c>
      <c r="DY6">
        <v>7.7674599999999996E-2</v>
      </c>
      <c r="DZ6">
        <v>5.4797999999999999E-2</v>
      </c>
      <c r="EA6">
        <v>0.1034138</v>
      </c>
      <c r="EB6">
        <v>4.7477499999999999E-2</v>
      </c>
      <c r="EC6">
        <v>5.30768E-2</v>
      </c>
      <c r="ED6">
        <v>6.0622599999999999E-2</v>
      </c>
      <c r="EE6">
        <v>7.2907799999999995E-2</v>
      </c>
      <c r="EF6">
        <v>9.8097100000000007E-2</v>
      </c>
      <c r="EG6">
        <v>0.1107982</v>
      </c>
      <c r="EH6">
        <v>0.1223764</v>
      </c>
      <c r="EI6">
        <v>0.1564111</v>
      </c>
      <c r="EJ6">
        <v>0.15346170000000001</v>
      </c>
      <c r="EK6">
        <v>0.12717880000000001</v>
      </c>
      <c r="EL6">
        <v>0.1192662</v>
      </c>
      <c r="EM6">
        <v>0.1423672</v>
      </c>
      <c r="EN6">
        <v>0.15119160000000001</v>
      </c>
      <c r="EO6">
        <v>0.16714209999999999</v>
      </c>
      <c r="EP6">
        <v>0.15791930000000001</v>
      </c>
      <c r="EQ6">
        <v>0.14928920000000001</v>
      </c>
      <c r="ER6">
        <v>0.1514432</v>
      </c>
      <c r="ES6">
        <v>0.14171210000000001</v>
      </c>
      <c r="ET6">
        <v>68.955939999999998</v>
      </c>
      <c r="EU6">
        <v>68.584230000000005</v>
      </c>
      <c r="EV6">
        <v>67.758870000000002</v>
      </c>
      <c r="EW6">
        <v>66.783550000000005</v>
      </c>
      <c r="EX6">
        <v>65.595780000000005</v>
      </c>
      <c r="EY6">
        <v>65.518199999999993</v>
      </c>
      <c r="EZ6">
        <v>64.964849999999998</v>
      </c>
      <c r="FA6">
        <v>65.586929999999995</v>
      </c>
      <c r="FB6">
        <v>68.156239999999997</v>
      </c>
      <c r="FC6">
        <v>71.270179999999996</v>
      </c>
      <c r="FD6">
        <v>74.656840000000003</v>
      </c>
      <c r="FE6">
        <v>78.107830000000007</v>
      </c>
      <c r="FF6">
        <v>80.726380000000006</v>
      </c>
      <c r="FG6">
        <v>82.485380000000006</v>
      </c>
      <c r="FH6">
        <v>83.016689999999997</v>
      </c>
      <c r="FI6">
        <v>83.203239999999994</v>
      </c>
      <c r="FJ6">
        <v>82.300079999999994</v>
      </c>
      <c r="FK6">
        <v>81.258200000000002</v>
      </c>
      <c r="FL6">
        <v>79.40652</v>
      </c>
      <c r="FM6">
        <v>76.788889999999995</v>
      </c>
      <c r="FN6">
        <v>73.957009999999997</v>
      </c>
      <c r="FO6">
        <v>71.589179999999999</v>
      </c>
      <c r="FP6">
        <v>70.459850000000003</v>
      </c>
      <c r="FQ6">
        <v>69.515839999999997</v>
      </c>
      <c r="FR6">
        <v>1</v>
      </c>
      <c r="FT6" s="44"/>
    </row>
    <row r="7" spans="1:176" x14ac:dyDescent="0.2">
      <c r="A7" t="s">
        <v>1</v>
      </c>
      <c r="B7" t="s">
        <v>202</v>
      </c>
      <c r="C7" s="70">
        <v>41849</v>
      </c>
      <c r="D7">
        <v>0</v>
      </c>
      <c r="E7" s="70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T7" s="44"/>
    </row>
    <row r="8" spans="1:176" x14ac:dyDescent="0.2">
      <c r="A8" t="s">
        <v>1</v>
      </c>
      <c r="B8" t="s">
        <v>202</v>
      </c>
      <c r="C8" s="70">
        <v>41850</v>
      </c>
      <c r="D8">
        <v>6</v>
      </c>
      <c r="E8" s="70">
        <v>173</v>
      </c>
      <c r="F8">
        <v>7.301647</v>
      </c>
      <c r="G8">
        <v>6.9721669999999998</v>
      </c>
      <c r="H8">
        <v>6.6959650000000002</v>
      </c>
      <c r="I8">
        <v>6.8125349999999996</v>
      </c>
      <c r="J8">
        <v>7.3524089999999998</v>
      </c>
      <c r="K8">
        <v>8.2799239999999994</v>
      </c>
      <c r="L8">
        <v>9.3526869999999995</v>
      </c>
      <c r="M8">
        <v>10.23983</v>
      </c>
      <c r="N8">
        <v>11.23638</v>
      </c>
      <c r="O8">
        <v>12.59652</v>
      </c>
      <c r="P8">
        <v>13.30565</v>
      </c>
      <c r="Q8">
        <v>13.5486</v>
      </c>
      <c r="R8">
        <v>13.64903</v>
      </c>
      <c r="S8">
        <v>13.66169</v>
      </c>
      <c r="T8">
        <v>13.745150000000001</v>
      </c>
      <c r="U8">
        <v>13.697710000000001</v>
      </c>
      <c r="V8">
        <v>13.604240000000001</v>
      </c>
      <c r="W8">
        <v>13.18144</v>
      </c>
      <c r="X8">
        <v>12.46218</v>
      </c>
      <c r="Y8">
        <v>11.848319999999999</v>
      </c>
      <c r="Z8">
        <v>11.17647</v>
      </c>
      <c r="AA8">
        <v>10.47653</v>
      </c>
      <c r="AB8">
        <v>9.0389800000000005</v>
      </c>
      <c r="AC8">
        <v>7.726845</v>
      </c>
      <c r="AD8">
        <v>-2.2959999999999999E-3</v>
      </c>
      <c r="AE8">
        <v>-4.2077E-3</v>
      </c>
      <c r="AF8">
        <v>-5.0664000000000004E-3</v>
      </c>
      <c r="AG8">
        <v>5.1320999999999997E-3</v>
      </c>
      <c r="AH8">
        <v>2.7410500000000001E-2</v>
      </c>
      <c r="AI8">
        <v>-3.9472800000000002E-2</v>
      </c>
      <c r="AJ8">
        <v>-6.72378E-2</v>
      </c>
      <c r="AK8">
        <v>-1.17813E-2</v>
      </c>
      <c r="AL8">
        <v>-2.9260600000000001E-2</v>
      </c>
      <c r="AM8">
        <v>-3.2910000000000001E-3</v>
      </c>
      <c r="AN8">
        <v>-9.8448599999999997E-2</v>
      </c>
      <c r="AO8">
        <v>-5.3389899999999997E-2</v>
      </c>
      <c r="AP8">
        <v>1.28618E-2</v>
      </c>
      <c r="AQ8">
        <v>5.7746000000000004E-3</v>
      </c>
      <c r="AR8">
        <v>1.0773E-3</v>
      </c>
      <c r="AS8">
        <v>4.5450999999999998E-3</v>
      </c>
      <c r="AT8">
        <v>2.8488599999999999E-2</v>
      </c>
      <c r="AU8">
        <v>1.57745E-2</v>
      </c>
      <c r="AV8">
        <v>4.7807500000000003E-2</v>
      </c>
      <c r="AW8">
        <v>8.6303000000000005E-3</v>
      </c>
      <c r="AX8">
        <v>-3.3342799999999999E-2</v>
      </c>
      <c r="AY8">
        <v>-6.7175299999999993E-2</v>
      </c>
      <c r="AZ8">
        <v>-6.7752999999999994E-2</v>
      </c>
      <c r="BA8">
        <v>-6.8463499999999997E-2</v>
      </c>
      <c r="BB8">
        <v>7.3899999999999997E-4</v>
      </c>
      <c r="BC8">
        <v>8.4820000000000002E-4</v>
      </c>
      <c r="BD8">
        <v>-9.8240000000000003E-4</v>
      </c>
      <c r="BE8">
        <v>1.06328E-2</v>
      </c>
      <c r="BF8">
        <v>3.4794600000000002E-2</v>
      </c>
      <c r="BG8">
        <v>-3.4188900000000001E-2</v>
      </c>
      <c r="BH8">
        <v>-6.1939399999999999E-2</v>
      </c>
      <c r="BI8">
        <v>-7.0350999999999999E-3</v>
      </c>
      <c r="BJ8">
        <v>-2.39435E-2</v>
      </c>
      <c r="BK8">
        <v>3.5506000000000001E-3</v>
      </c>
      <c r="BL8">
        <v>-9.0926699999999999E-2</v>
      </c>
      <c r="BM8">
        <v>-4.5815700000000001E-2</v>
      </c>
      <c r="BN8">
        <v>2.1310200000000001E-2</v>
      </c>
      <c r="BO8">
        <v>1.41339E-2</v>
      </c>
      <c r="BP8">
        <v>9.7938999999999995E-3</v>
      </c>
      <c r="BQ8">
        <v>1.24292E-2</v>
      </c>
      <c r="BR8">
        <v>3.7096400000000002E-2</v>
      </c>
      <c r="BS8">
        <v>2.3766900000000001E-2</v>
      </c>
      <c r="BT8">
        <v>5.7889700000000002E-2</v>
      </c>
      <c r="BU8">
        <v>1.8274499999999999E-2</v>
      </c>
      <c r="BV8">
        <v>-2.46E-2</v>
      </c>
      <c r="BW8">
        <v>-5.8942300000000003E-2</v>
      </c>
      <c r="BX8">
        <v>-5.9855100000000001E-2</v>
      </c>
      <c r="BY8">
        <v>-6.0817299999999998E-2</v>
      </c>
      <c r="BZ8">
        <v>2.8410000000000002E-3</v>
      </c>
      <c r="CA8">
        <v>4.3499000000000003E-3</v>
      </c>
      <c r="CB8">
        <v>1.8461E-3</v>
      </c>
      <c r="CC8">
        <v>1.44425E-2</v>
      </c>
      <c r="CD8">
        <v>3.9908800000000001E-2</v>
      </c>
      <c r="CE8">
        <v>-3.0529299999999999E-2</v>
      </c>
      <c r="CF8">
        <v>-5.8269700000000001E-2</v>
      </c>
      <c r="CG8">
        <v>-3.7479000000000002E-3</v>
      </c>
      <c r="CH8">
        <v>-2.0260899999999998E-2</v>
      </c>
      <c r="CI8">
        <v>8.2892E-3</v>
      </c>
      <c r="CJ8">
        <v>-8.5717000000000002E-2</v>
      </c>
      <c r="CK8">
        <v>-4.0569800000000003E-2</v>
      </c>
      <c r="CL8">
        <v>2.7161500000000002E-2</v>
      </c>
      <c r="CM8">
        <v>1.99235E-2</v>
      </c>
      <c r="CN8">
        <v>1.5831000000000001E-2</v>
      </c>
      <c r="CO8">
        <v>1.7889700000000001E-2</v>
      </c>
      <c r="CP8">
        <v>4.3058199999999998E-2</v>
      </c>
      <c r="CQ8">
        <v>2.9302499999999999E-2</v>
      </c>
      <c r="CR8">
        <v>6.4872600000000002E-2</v>
      </c>
      <c r="CS8">
        <v>2.49541E-2</v>
      </c>
      <c r="CT8">
        <v>-1.85448E-2</v>
      </c>
      <c r="CU8">
        <v>-5.3240200000000001E-2</v>
      </c>
      <c r="CV8">
        <v>-5.4385099999999999E-2</v>
      </c>
      <c r="CW8">
        <v>-5.55217E-2</v>
      </c>
      <c r="CX8">
        <v>4.9430000000000003E-3</v>
      </c>
      <c r="CY8">
        <v>7.8516000000000002E-3</v>
      </c>
      <c r="CZ8">
        <v>4.6746000000000001E-3</v>
      </c>
      <c r="DA8">
        <v>1.8252299999999999E-2</v>
      </c>
      <c r="DB8">
        <v>4.5023100000000003E-2</v>
      </c>
      <c r="DC8">
        <v>-2.68697E-2</v>
      </c>
      <c r="DD8">
        <v>-5.4600000000000003E-2</v>
      </c>
      <c r="DE8">
        <v>-4.6059999999999997E-4</v>
      </c>
      <c r="DF8">
        <v>-1.6578300000000001E-2</v>
      </c>
      <c r="DG8">
        <v>1.30277E-2</v>
      </c>
      <c r="DH8">
        <v>-8.0507400000000007E-2</v>
      </c>
      <c r="DI8">
        <v>-3.5323899999999998E-2</v>
      </c>
      <c r="DJ8">
        <v>3.3012899999999998E-2</v>
      </c>
      <c r="DK8">
        <v>2.5713099999999999E-2</v>
      </c>
      <c r="DL8">
        <v>2.1868100000000001E-2</v>
      </c>
      <c r="DM8">
        <v>2.3350300000000001E-2</v>
      </c>
      <c r="DN8">
        <v>4.9019899999999998E-2</v>
      </c>
      <c r="DO8">
        <v>3.4838099999999997E-2</v>
      </c>
      <c r="DP8">
        <v>7.1855500000000003E-2</v>
      </c>
      <c r="DQ8">
        <v>3.1633599999999998E-2</v>
      </c>
      <c r="DR8">
        <v>-1.24896E-2</v>
      </c>
      <c r="DS8">
        <v>-4.75381E-2</v>
      </c>
      <c r="DT8">
        <v>-4.8915E-2</v>
      </c>
      <c r="DU8">
        <v>-5.0226E-2</v>
      </c>
      <c r="DV8">
        <v>7.9778999999999996E-3</v>
      </c>
      <c r="DW8">
        <v>1.2907500000000001E-2</v>
      </c>
      <c r="DX8">
        <v>8.7585000000000007E-3</v>
      </c>
      <c r="DY8">
        <v>2.3753E-2</v>
      </c>
      <c r="DZ8">
        <v>5.2407200000000001E-2</v>
      </c>
      <c r="EA8">
        <v>-2.1585900000000002E-2</v>
      </c>
      <c r="EB8">
        <v>-4.9301600000000001E-2</v>
      </c>
      <c r="EC8">
        <v>4.2855999999999997E-3</v>
      </c>
      <c r="ED8">
        <v>-1.1261200000000001E-2</v>
      </c>
      <c r="EE8">
        <v>1.9869399999999999E-2</v>
      </c>
      <c r="EF8">
        <v>-7.2985499999999995E-2</v>
      </c>
      <c r="EG8">
        <v>-2.7749699999999999E-2</v>
      </c>
      <c r="EH8">
        <v>4.1461199999999997E-2</v>
      </c>
      <c r="EI8">
        <v>3.4072400000000003E-2</v>
      </c>
      <c r="EJ8">
        <v>3.05846E-2</v>
      </c>
      <c r="EK8">
        <v>3.1234399999999999E-2</v>
      </c>
      <c r="EL8">
        <v>5.76278E-2</v>
      </c>
      <c r="EM8">
        <v>4.2830500000000001E-2</v>
      </c>
      <c r="EN8">
        <v>8.1937700000000002E-2</v>
      </c>
      <c r="EO8">
        <v>4.1277800000000003E-2</v>
      </c>
      <c r="EP8">
        <v>-3.7467999999999998E-3</v>
      </c>
      <c r="EQ8">
        <v>-3.9305100000000003E-2</v>
      </c>
      <c r="ER8">
        <v>-4.1017100000000001E-2</v>
      </c>
      <c r="ES8">
        <v>-4.2579899999999997E-2</v>
      </c>
      <c r="ET8">
        <v>69.440550000000002</v>
      </c>
      <c r="EU8">
        <v>68.547120000000007</v>
      </c>
      <c r="EV8">
        <v>67.827979999999997</v>
      </c>
      <c r="EW8">
        <v>67.185460000000006</v>
      </c>
      <c r="EX8">
        <v>65.855800000000002</v>
      </c>
      <c r="EY8">
        <v>65.203019999999995</v>
      </c>
      <c r="EZ8">
        <v>64.709789999999998</v>
      </c>
      <c r="FA8">
        <v>65.921390000000002</v>
      </c>
      <c r="FB8">
        <v>68.108699999999999</v>
      </c>
      <c r="FC8">
        <v>71.050120000000007</v>
      </c>
      <c r="FD8">
        <v>74.427369999999996</v>
      </c>
      <c r="FE8">
        <v>77.318529999999996</v>
      </c>
      <c r="FF8">
        <v>80.556299999999993</v>
      </c>
      <c r="FG8">
        <v>82.606639999999999</v>
      </c>
      <c r="FH8">
        <v>84.275239999999997</v>
      </c>
      <c r="FI8">
        <v>85.839410000000001</v>
      </c>
      <c r="FJ8">
        <v>85.816649999999996</v>
      </c>
      <c r="FK8">
        <v>84.910570000000007</v>
      </c>
      <c r="FL8">
        <v>82.517039999999994</v>
      </c>
      <c r="FM8">
        <v>78.862700000000004</v>
      </c>
      <c r="FN8">
        <v>75.28998</v>
      </c>
      <c r="FO8">
        <v>72.650000000000006</v>
      </c>
      <c r="FP8">
        <v>71.095179999999999</v>
      </c>
      <c r="FQ8">
        <v>69.502549999999999</v>
      </c>
      <c r="FR8">
        <v>1</v>
      </c>
      <c r="FT8" s="44"/>
    </row>
    <row r="9" spans="1:176" x14ac:dyDescent="0.2">
      <c r="A9" t="s">
        <v>1</v>
      </c>
      <c r="B9" t="s">
        <v>202</v>
      </c>
      <c r="C9" s="70">
        <v>41851</v>
      </c>
      <c r="D9">
        <v>5</v>
      </c>
      <c r="E9" s="70">
        <v>171</v>
      </c>
      <c r="F9">
        <v>7.0645740000000004</v>
      </c>
      <c r="G9">
        <v>6.8620130000000001</v>
      </c>
      <c r="H9">
        <v>6.7095989999999999</v>
      </c>
      <c r="I9">
        <v>6.9545070000000004</v>
      </c>
      <c r="J9">
        <v>7.2150869999999996</v>
      </c>
      <c r="K9">
        <v>8.1741580000000003</v>
      </c>
      <c r="L9">
        <v>9.3697540000000004</v>
      </c>
      <c r="M9">
        <v>10.17332</v>
      </c>
      <c r="N9">
        <v>11.03093</v>
      </c>
      <c r="O9">
        <v>12.26768</v>
      </c>
      <c r="P9">
        <v>12.826739999999999</v>
      </c>
      <c r="Q9">
        <v>13.180669999999999</v>
      </c>
      <c r="R9">
        <v>13.39706</v>
      </c>
      <c r="S9">
        <v>13.70603</v>
      </c>
      <c r="T9">
        <v>13.732139999999999</v>
      </c>
      <c r="U9">
        <v>13.81992</v>
      </c>
      <c r="V9">
        <v>13.653</v>
      </c>
      <c r="W9">
        <v>13.11228</v>
      </c>
      <c r="X9">
        <v>12.43482</v>
      </c>
      <c r="Y9">
        <v>11.64175</v>
      </c>
      <c r="Z9">
        <v>11.00273</v>
      </c>
      <c r="AA9">
        <v>10.283899999999999</v>
      </c>
      <c r="AB9">
        <v>8.9405160000000006</v>
      </c>
      <c r="AC9">
        <v>7.7289960000000004</v>
      </c>
      <c r="AD9">
        <v>-2.1332E-3</v>
      </c>
      <c r="AE9">
        <v>-2.8704999999999998E-3</v>
      </c>
      <c r="AF9">
        <v>-2.9827999999999999E-3</v>
      </c>
      <c r="AG9">
        <v>5.2798999999999997E-3</v>
      </c>
      <c r="AH9">
        <v>1.1452199999999999E-2</v>
      </c>
      <c r="AI9">
        <v>-3.3314099999999999E-2</v>
      </c>
      <c r="AJ9">
        <v>-5.2233599999999998E-2</v>
      </c>
      <c r="AK9">
        <v>-1.9219699999999999E-2</v>
      </c>
      <c r="AL9">
        <v>-8.4396000000000002E-3</v>
      </c>
      <c r="AM9">
        <v>-1.6745699999999999E-2</v>
      </c>
      <c r="AN9">
        <v>-8.1127000000000005E-3</v>
      </c>
      <c r="AO9">
        <v>-3.3279499999999997E-2</v>
      </c>
      <c r="AP9">
        <v>-3.5767500000000001E-2</v>
      </c>
      <c r="AQ9">
        <v>-1.03392E-2</v>
      </c>
      <c r="AR9">
        <v>-1.0102699999999999E-2</v>
      </c>
      <c r="AS9">
        <v>-3.2020399999999997E-2</v>
      </c>
      <c r="AT9">
        <v>-1.14985E-2</v>
      </c>
      <c r="AU9">
        <v>-8.6642999999999998E-3</v>
      </c>
      <c r="AV9">
        <v>3.2035099999999997E-2</v>
      </c>
      <c r="AW9">
        <v>5.8987699999999997E-2</v>
      </c>
      <c r="AX9">
        <v>3.9411700000000001E-2</v>
      </c>
      <c r="AY9">
        <v>7.1885999999999999E-3</v>
      </c>
      <c r="AZ9">
        <v>2.3452E-3</v>
      </c>
      <c r="BA9">
        <v>-2.4607000000000001E-3</v>
      </c>
      <c r="BB9">
        <v>-1.9450000000000001E-4</v>
      </c>
      <c r="BC9">
        <v>-6.0999999999999997E-4</v>
      </c>
      <c r="BD9">
        <v>-6.2330000000000003E-4</v>
      </c>
      <c r="BE9">
        <v>9.4614999999999994E-3</v>
      </c>
      <c r="BF9">
        <v>1.7373900000000001E-2</v>
      </c>
      <c r="BG9">
        <v>-2.9479700000000001E-2</v>
      </c>
      <c r="BH9">
        <v>-4.8391400000000001E-2</v>
      </c>
      <c r="BI9">
        <v>-1.5934400000000001E-2</v>
      </c>
      <c r="BJ9">
        <v>-4.4980999999999997E-3</v>
      </c>
      <c r="BK9">
        <v>-1.17333E-2</v>
      </c>
      <c r="BL9">
        <v>-3.3538000000000001E-3</v>
      </c>
      <c r="BM9">
        <v>-2.8473100000000001E-2</v>
      </c>
      <c r="BN9">
        <v>-3.1481299999999997E-2</v>
      </c>
      <c r="BO9">
        <v>-6.6404000000000003E-3</v>
      </c>
      <c r="BP9">
        <v>-6.7044000000000001E-3</v>
      </c>
      <c r="BQ9">
        <v>-2.8663500000000001E-2</v>
      </c>
      <c r="BR9">
        <v>-8.1610999999999993E-3</v>
      </c>
      <c r="BS9">
        <v>-4.3769000000000004E-3</v>
      </c>
      <c r="BT9">
        <v>3.7584100000000002E-2</v>
      </c>
      <c r="BU9">
        <v>6.6142300000000001E-2</v>
      </c>
      <c r="BV9">
        <v>4.5712900000000001E-2</v>
      </c>
      <c r="BW9">
        <v>1.0327899999999999E-2</v>
      </c>
      <c r="BX9">
        <v>5.4923999999999997E-3</v>
      </c>
      <c r="BY9">
        <v>-6.0130000000000003E-4</v>
      </c>
      <c r="BZ9">
        <v>1.1482E-3</v>
      </c>
      <c r="CA9">
        <v>9.5560000000000003E-4</v>
      </c>
      <c r="CB9">
        <v>1.0108999999999999E-3</v>
      </c>
      <c r="CC9">
        <v>1.23576E-2</v>
      </c>
      <c r="CD9">
        <v>2.1475299999999999E-2</v>
      </c>
      <c r="CE9">
        <v>-2.68241E-2</v>
      </c>
      <c r="CF9">
        <v>-4.5730300000000002E-2</v>
      </c>
      <c r="CG9">
        <v>-1.3658999999999999E-2</v>
      </c>
      <c r="CH9">
        <v>-1.7681999999999999E-3</v>
      </c>
      <c r="CI9">
        <v>-8.2617000000000003E-3</v>
      </c>
      <c r="CJ9">
        <v>-5.77E-5</v>
      </c>
      <c r="CK9">
        <v>-2.5144199999999998E-2</v>
      </c>
      <c r="CL9">
        <v>-2.8512599999999999E-2</v>
      </c>
      <c r="CM9">
        <v>-4.0787000000000002E-3</v>
      </c>
      <c r="CN9">
        <v>-4.3508000000000002E-3</v>
      </c>
      <c r="CO9">
        <v>-2.6338500000000001E-2</v>
      </c>
      <c r="CP9">
        <v>-5.8497000000000002E-3</v>
      </c>
      <c r="CQ9">
        <v>-1.4074000000000001E-3</v>
      </c>
      <c r="CR9">
        <v>4.14273E-2</v>
      </c>
      <c r="CS9">
        <v>7.1097499999999994E-2</v>
      </c>
      <c r="CT9">
        <v>5.0077000000000003E-2</v>
      </c>
      <c r="CU9">
        <v>1.25021E-2</v>
      </c>
      <c r="CV9">
        <v>7.6721000000000003E-3</v>
      </c>
      <c r="CW9">
        <v>6.8659999999999999E-4</v>
      </c>
      <c r="CX9">
        <v>2.4908999999999999E-3</v>
      </c>
      <c r="CY9">
        <v>2.5211999999999999E-3</v>
      </c>
      <c r="CZ9">
        <v>2.6451000000000001E-3</v>
      </c>
      <c r="DA9">
        <v>1.52537E-2</v>
      </c>
      <c r="DB9">
        <v>2.5576600000000001E-2</v>
      </c>
      <c r="DC9">
        <v>-2.4168499999999999E-2</v>
      </c>
      <c r="DD9">
        <v>-4.3069200000000002E-2</v>
      </c>
      <c r="DE9">
        <v>-1.1383600000000001E-2</v>
      </c>
      <c r="DF9">
        <v>9.6170000000000001E-4</v>
      </c>
      <c r="DG9">
        <v>-4.7901000000000003E-3</v>
      </c>
      <c r="DH9">
        <v>3.2382999999999999E-3</v>
      </c>
      <c r="DI9">
        <v>-2.1815299999999999E-2</v>
      </c>
      <c r="DJ9">
        <v>-2.5543900000000001E-2</v>
      </c>
      <c r="DK9">
        <v>-1.5169999999999999E-3</v>
      </c>
      <c r="DL9">
        <v>-1.9972000000000002E-3</v>
      </c>
      <c r="DM9">
        <v>-2.40135E-2</v>
      </c>
      <c r="DN9">
        <v>-3.5382E-3</v>
      </c>
      <c r="DO9">
        <v>1.562E-3</v>
      </c>
      <c r="DP9">
        <v>4.5270499999999998E-2</v>
      </c>
      <c r="DQ9">
        <v>7.6052800000000004E-2</v>
      </c>
      <c r="DR9">
        <v>5.4441099999999999E-2</v>
      </c>
      <c r="DS9">
        <v>1.4676399999999999E-2</v>
      </c>
      <c r="DT9">
        <v>9.8519000000000002E-3</v>
      </c>
      <c r="DU9">
        <v>1.9743999999999999E-3</v>
      </c>
      <c r="DV9">
        <v>4.4295999999999997E-3</v>
      </c>
      <c r="DW9">
        <v>4.7816999999999998E-3</v>
      </c>
      <c r="DX9">
        <v>5.0045999999999997E-3</v>
      </c>
      <c r="DY9">
        <v>1.9435299999999999E-2</v>
      </c>
      <c r="DZ9">
        <v>3.1498400000000003E-2</v>
      </c>
      <c r="EA9">
        <v>-2.0334100000000001E-2</v>
      </c>
      <c r="EB9">
        <v>-3.9226999999999998E-2</v>
      </c>
      <c r="EC9">
        <v>-8.0981999999999998E-3</v>
      </c>
      <c r="ED9">
        <v>4.9031999999999999E-3</v>
      </c>
      <c r="EE9">
        <v>2.2240000000000001E-4</v>
      </c>
      <c r="EF9">
        <v>7.9973000000000006E-3</v>
      </c>
      <c r="EG9">
        <v>-1.70089E-2</v>
      </c>
      <c r="EH9">
        <v>-2.1257700000000001E-2</v>
      </c>
      <c r="EI9">
        <v>2.1817999999999998E-3</v>
      </c>
      <c r="EJ9">
        <v>1.4011E-3</v>
      </c>
      <c r="EK9">
        <v>-2.0656600000000001E-2</v>
      </c>
      <c r="EL9">
        <v>-2.008E-4</v>
      </c>
      <c r="EM9">
        <v>5.8494999999999997E-3</v>
      </c>
      <c r="EN9">
        <v>5.0819400000000001E-2</v>
      </c>
      <c r="EO9">
        <v>8.3207299999999998E-2</v>
      </c>
      <c r="EP9">
        <v>6.0742299999999999E-2</v>
      </c>
      <c r="EQ9">
        <v>1.7815600000000001E-2</v>
      </c>
      <c r="ER9">
        <v>1.2999E-2</v>
      </c>
      <c r="ES9">
        <v>3.8338999999999999E-3</v>
      </c>
      <c r="ET9">
        <v>68.602059999999994</v>
      </c>
      <c r="EU9">
        <v>68.045689999999993</v>
      </c>
      <c r="EV9">
        <v>67.229470000000006</v>
      </c>
      <c r="EW9">
        <v>66.715999999999994</v>
      </c>
      <c r="EX9">
        <v>66.164019999999994</v>
      </c>
      <c r="EY9">
        <v>65.153750000000002</v>
      </c>
      <c r="EZ9">
        <v>64.426609999999997</v>
      </c>
      <c r="FA9">
        <v>65.916970000000006</v>
      </c>
      <c r="FB9">
        <v>67.695340000000002</v>
      </c>
      <c r="FC9">
        <v>70.338220000000007</v>
      </c>
      <c r="FD9">
        <v>73.758039999999994</v>
      </c>
      <c r="FE9">
        <v>77.304569999999998</v>
      </c>
      <c r="FF9">
        <v>80.21181</v>
      </c>
      <c r="FG9">
        <v>83.004949999999994</v>
      </c>
      <c r="FH9">
        <v>84.614189999999994</v>
      </c>
      <c r="FI9">
        <v>86.354709999999997</v>
      </c>
      <c r="FJ9">
        <v>86.694329999999994</v>
      </c>
      <c r="FK9">
        <v>86.172219999999996</v>
      </c>
      <c r="FL9">
        <v>83.824619999999996</v>
      </c>
      <c r="FM9">
        <v>80.096180000000004</v>
      </c>
      <c r="FN9">
        <v>76.386979999999994</v>
      </c>
      <c r="FO9">
        <v>73.604929999999996</v>
      </c>
      <c r="FP9">
        <v>71.986980000000003</v>
      </c>
      <c r="FQ9">
        <v>70.250579999999999</v>
      </c>
      <c r="FR9">
        <v>1</v>
      </c>
      <c r="FT9" s="44"/>
    </row>
    <row r="10" spans="1:176" x14ac:dyDescent="0.2">
      <c r="A10" t="s">
        <v>1</v>
      </c>
      <c r="B10" t="s">
        <v>202</v>
      </c>
      <c r="C10" s="70">
        <v>41852</v>
      </c>
      <c r="D10">
        <v>6</v>
      </c>
      <c r="E10" s="70">
        <v>171</v>
      </c>
      <c r="F10">
        <v>7.1651689999999997</v>
      </c>
      <c r="G10">
        <v>6.9911849999999998</v>
      </c>
      <c r="H10">
        <v>6.9004909999999997</v>
      </c>
      <c r="I10">
        <v>7.0533400000000004</v>
      </c>
      <c r="J10">
        <v>7.3408959999999999</v>
      </c>
      <c r="K10">
        <v>7.998151</v>
      </c>
      <c r="L10">
        <v>8.8711769999999994</v>
      </c>
      <c r="M10">
        <v>9.6424570000000003</v>
      </c>
      <c r="N10">
        <v>10.88799</v>
      </c>
      <c r="O10">
        <v>12.220599999999999</v>
      </c>
      <c r="P10">
        <v>12.88945</v>
      </c>
      <c r="Q10">
        <v>13.18465</v>
      </c>
      <c r="R10">
        <v>13.42291</v>
      </c>
      <c r="S10">
        <v>13.55742</v>
      </c>
      <c r="T10">
        <v>13.611929999999999</v>
      </c>
      <c r="U10">
        <v>12.88212</v>
      </c>
      <c r="V10">
        <v>12.68181</v>
      </c>
      <c r="W10">
        <v>12.28668</v>
      </c>
      <c r="X10">
        <v>11.352309999999999</v>
      </c>
      <c r="Y10">
        <v>11.144360000000001</v>
      </c>
      <c r="Z10">
        <v>10.79106</v>
      </c>
      <c r="AA10">
        <v>10.01661</v>
      </c>
      <c r="AB10">
        <v>9.2760149999999992</v>
      </c>
      <c r="AC10">
        <v>7.5559269999999996</v>
      </c>
      <c r="AD10">
        <v>-2.9091100000000002E-2</v>
      </c>
      <c r="AE10">
        <v>-2.68743E-2</v>
      </c>
      <c r="AF10">
        <v>-1.8858900000000001E-2</v>
      </c>
      <c r="AG10">
        <v>-1.07949E-2</v>
      </c>
      <c r="AH10">
        <v>4.8193999999999997E-3</v>
      </c>
      <c r="AI10">
        <v>-4.6737899999999999E-2</v>
      </c>
      <c r="AJ10">
        <v>-2.0077999999999999E-2</v>
      </c>
      <c r="AK10">
        <v>-3.1552799999999999E-2</v>
      </c>
      <c r="AL10">
        <v>-1.7294199999999999E-2</v>
      </c>
      <c r="AM10">
        <v>2.3781299999999998E-2</v>
      </c>
      <c r="AN10">
        <v>1.21712E-2</v>
      </c>
      <c r="AO10">
        <v>3.3979200000000001E-2</v>
      </c>
      <c r="AP10">
        <v>-1.5573699999999999E-2</v>
      </c>
      <c r="AQ10">
        <v>4.6692000000000001E-3</v>
      </c>
      <c r="AR10">
        <v>-1.0272099999999999E-2</v>
      </c>
      <c r="AS10">
        <v>6.3674999999999999E-3</v>
      </c>
      <c r="AT10">
        <v>-6.5094999999999997E-3</v>
      </c>
      <c r="AU10">
        <v>-6.4573E-3</v>
      </c>
      <c r="AV10">
        <v>1.669E-2</v>
      </c>
      <c r="AW10">
        <v>4.1723499999999997E-2</v>
      </c>
      <c r="AX10">
        <v>3.6515600000000002E-2</v>
      </c>
      <c r="AY10">
        <v>1.91051E-2</v>
      </c>
      <c r="AZ10">
        <v>1.9131100000000002E-2</v>
      </c>
      <c r="BA10">
        <v>-3.7312999999999999E-2</v>
      </c>
      <c r="BB10">
        <v>-1.7547199999999999E-2</v>
      </c>
      <c r="BC10">
        <v>-1.72274E-2</v>
      </c>
      <c r="BD10">
        <v>-9.2592000000000004E-3</v>
      </c>
      <c r="BE10">
        <v>-5.5130000000000001E-4</v>
      </c>
      <c r="BF10">
        <v>1.6249E-2</v>
      </c>
      <c r="BG10">
        <v>-3.6166200000000003E-2</v>
      </c>
      <c r="BH10">
        <v>-1.1670700000000001E-2</v>
      </c>
      <c r="BI10">
        <v>-1.9565099999999998E-2</v>
      </c>
      <c r="BJ10">
        <v>-3.4204000000000001E-3</v>
      </c>
      <c r="BK10">
        <v>3.7876199999999999E-2</v>
      </c>
      <c r="BL10">
        <v>2.6182500000000001E-2</v>
      </c>
      <c r="BM10">
        <v>4.7127799999999997E-2</v>
      </c>
      <c r="BN10">
        <v>-9.5960000000000001E-4</v>
      </c>
      <c r="BO10">
        <v>2.0794699999999999E-2</v>
      </c>
      <c r="BP10">
        <v>6.6030999999999998E-3</v>
      </c>
      <c r="BQ10">
        <v>2.1424200000000001E-2</v>
      </c>
      <c r="BR10">
        <v>8.1081999999999994E-3</v>
      </c>
      <c r="BS10">
        <v>9.7484000000000008E-3</v>
      </c>
      <c r="BT10">
        <v>3.4793900000000003E-2</v>
      </c>
      <c r="BU10">
        <v>5.9306900000000003E-2</v>
      </c>
      <c r="BV10">
        <v>5.4170500000000003E-2</v>
      </c>
      <c r="BW10">
        <v>3.6515699999999998E-2</v>
      </c>
      <c r="BX10">
        <v>3.6672400000000001E-2</v>
      </c>
      <c r="BY10">
        <v>-1.9265299999999999E-2</v>
      </c>
      <c r="BZ10">
        <v>-9.5519999999999997E-3</v>
      </c>
      <c r="CA10">
        <v>-1.0546E-2</v>
      </c>
      <c r="CB10">
        <v>-2.6105E-3</v>
      </c>
      <c r="CC10">
        <v>6.5434000000000004E-3</v>
      </c>
      <c r="CD10">
        <v>2.4165200000000001E-2</v>
      </c>
      <c r="CE10">
        <v>-2.88442E-2</v>
      </c>
      <c r="CF10">
        <v>-5.8478999999999996E-3</v>
      </c>
      <c r="CG10">
        <v>-1.12625E-2</v>
      </c>
      <c r="CH10">
        <v>6.1885999999999998E-3</v>
      </c>
      <c r="CI10">
        <v>4.7638199999999999E-2</v>
      </c>
      <c r="CJ10">
        <v>3.5886700000000001E-2</v>
      </c>
      <c r="CK10">
        <v>5.6234399999999997E-2</v>
      </c>
      <c r="CL10">
        <v>9.1620999999999994E-3</v>
      </c>
      <c r="CM10">
        <v>3.1963100000000001E-2</v>
      </c>
      <c r="CN10">
        <v>1.8290899999999999E-2</v>
      </c>
      <c r="CO10">
        <v>3.1852400000000003E-2</v>
      </c>
      <c r="CP10">
        <v>1.8232399999999999E-2</v>
      </c>
      <c r="CQ10">
        <v>2.0972399999999999E-2</v>
      </c>
      <c r="CR10">
        <v>4.7332600000000002E-2</v>
      </c>
      <c r="CS10">
        <v>7.1485000000000007E-2</v>
      </c>
      <c r="CT10">
        <v>6.6398299999999993E-2</v>
      </c>
      <c r="CU10">
        <v>4.8574199999999998E-2</v>
      </c>
      <c r="CV10">
        <v>4.8821499999999997E-2</v>
      </c>
      <c r="CW10">
        <v>-6.7656000000000001E-3</v>
      </c>
      <c r="CX10">
        <v>-1.5567000000000001E-3</v>
      </c>
      <c r="CY10">
        <v>-3.8644999999999999E-3</v>
      </c>
      <c r="CZ10">
        <v>4.0382999999999999E-3</v>
      </c>
      <c r="DA10">
        <v>1.36381E-2</v>
      </c>
      <c r="DB10">
        <v>3.20813E-2</v>
      </c>
      <c r="DC10">
        <v>-2.1522199999999998E-2</v>
      </c>
      <c r="DD10">
        <v>-2.5000000000000001E-5</v>
      </c>
      <c r="DE10">
        <v>-2.9599000000000001E-3</v>
      </c>
      <c r="DF10">
        <v>1.5797499999999999E-2</v>
      </c>
      <c r="DG10">
        <v>5.7400300000000001E-2</v>
      </c>
      <c r="DH10">
        <v>4.5590899999999997E-2</v>
      </c>
      <c r="DI10">
        <v>6.5341099999999999E-2</v>
      </c>
      <c r="DJ10">
        <v>1.92838E-2</v>
      </c>
      <c r="DK10">
        <v>4.3131599999999999E-2</v>
      </c>
      <c r="DL10">
        <v>2.9978600000000001E-2</v>
      </c>
      <c r="DM10">
        <v>4.2280600000000002E-2</v>
      </c>
      <c r="DN10">
        <v>2.83565E-2</v>
      </c>
      <c r="DO10">
        <v>3.21964E-2</v>
      </c>
      <c r="DP10">
        <v>5.9871399999999998E-2</v>
      </c>
      <c r="DQ10">
        <v>8.3663199999999993E-2</v>
      </c>
      <c r="DR10">
        <v>7.8626000000000001E-2</v>
      </c>
      <c r="DS10">
        <v>6.0632699999999998E-2</v>
      </c>
      <c r="DT10">
        <v>6.09706E-2</v>
      </c>
      <c r="DU10">
        <v>5.7342000000000001E-3</v>
      </c>
      <c r="DV10">
        <v>9.9871999999999999E-3</v>
      </c>
      <c r="DW10">
        <v>5.7824E-3</v>
      </c>
      <c r="DX10">
        <v>1.3638000000000001E-2</v>
      </c>
      <c r="DY10">
        <v>2.3881699999999999E-2</v>
      </c>
      <c r="DZ10">
        <v>4.3511000000000001E-2</v>
      </c>
      <c r="EA10">
        <v>-1.09505E-2</v>
      </c>
      <c r="EB10">
        <v>8.3823000000000005E-3</v>
      </c>
      <c r="EC10">
        <v>9.0278000000000008E-3</v>
      </c>
      <c r="ED10">
        <v>2.9671300000000001E-2</v>
      </c>
      <c r="EE10">
        <v>7.1495199999999995E-2</v>
      </c>
      <c r="EF10">
        <v>5.9602200000000001E-2</v>
      </c>
      <c r="EG10">
        <v>7.8489600000000007E-2</v>
      </c>
      <c r="EH10">
        <v>3.3897900000000002E-2</v>
      </c>
      <c r="EI10">
        <v>5.9256999999999997E-2</v>
      </c>
      <c r="EJ10">
        <v>4.6853899999999997E-2</v>
      </c>
      <c r="EK10">
        <v>5.7337300000000001E-2</v>
      </c>
      <c r="EL10">
        <v>4.2974199999999997E-2</v>
      </c>
      <c r="EM10">
        <v>4.8402100000000003E-2</v>
      </c>
      <c r="EN10">
        <v>7.7975299999999997E-2</v>
      </c>
      <c r="EO10">
        <v>0.1012465</v>
      </c>
      <c r="EP10">
        <v>9.6280900000000003E-2</v>
      </c>
      <c r="EQ10">
        <v>7.8043199999999993E-2</v>
      </c>
      <c r="ER10">
        <v>7.8511899999999996E-2</v>
      </c>
      <c r="ES10">
        <v>2.3781900000000002E-2</v>
      </c>
      <c r="ET10">
        <v>69.143100000000004</v>
      </c>
      <c r="EU10">
        <v>68.374009999999998</v>
      </c>
      <c r="EV10">
        <v>67.264889999999994</v>
      </c>
      <c r="EW10">
        <v>66.345339999999993</v>
      </c>
      <c r="EX10">
        <v>65.347409999999996</v>
      </c>
      <c r="EY10">
        <v>64.670749999999998</v>
      </c>
      <c r="EZ10">
        <v>64.198419999999999</v>
      </c>
      <c r="FA10">
        <v>66.472350000000006</v>
      </c>
      <c r="FB10">
        <v>69.573139999999995</v>
      </c>
      <c r="FC10">
        <v>72.76173</v>
      </c>
      <c r="FD10">
        <v>76.56371</v>
      </c>
      <c r="FE10">
        <v>79.576840000000004</v>
      </c>
      <c r="FF10">
        <v>82.225849999999994</v>
      </c>
      <c r="FG10">
        <v>84.812740000000005</v>
      </c>
      <c r="FH10">
        <v>87.224490000000003</v>
      </c>
      <c r="FI10">
        <v>87.60163</v>
      </c>
      <c r="FJ10">
        <v>87.328320000000005</v>
      </c>
      <c r="FK10">
        <v>85.958420000000004</v>
      </c>
      <c r="FL10">
        <v>83.880849999999995</v>
      </c>
      <c r="FM10">
        <v>80.682280000000006</v>
      </c>
      <c r="FN10">
        <v>76.448390000000003</v>
      </c>
      <c r="FO10">
        <v>72.603390000000005</v>
      </c>
      <c r="FP10">
        <v>69.854489999999998</v>
      </c>
      <c r="FQ10">
        <v>68.429659999999998</v>
      </c>
      <c r="FR10">
        <v>1</v>
      </c>
      <c r="FT10" s="44"/>
    </row>
    <row r="11" spans="1:176" x14ac:dyDescent="0.2">
      <c r="A11" t="s">
        <v>1</v>
      </c>
      <c r="B11" t="s">
        <v>202</v>
      </c>
      <c r="C11" s="70">
        <v>41894</v>
      </c>
      <c r="D11">
        <v>0</v>
      </c>
      <c r="E11" s="70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T11" s="44"/>
    </row>
    <row r="12" spans="1:176" x14ac:dyDescent="0.2">
      <c r="A12" t="s">
        <v>1</v>
      </c>
      <c r="B12" t="s">
        <v>202</v>
      </c>
      <c r="C12" s="70">
        <v>41897</v>
      </c>
      <c r="D12">
        <v>0</v>
      </c>
      <c r="E12" s="70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T12" s="44"/>
    </row>
    <row r="13" spans="1:176" x14ac:dyDescent="0.2">
      <c r="A13" t="s">
        <v>1</v>
      </c>
      <c r="B13" t="s">
        <v>202</v>
      </c>
      <c r="C13" s="70">
        <v>41898</v>
      </c>
      <c r="D13">
        <v>0</v>
      </c>
      <c r="E13" s="70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T13" s="44"/>
    </row>
    <row r="14" spans="1:176" x14ac:dyDescent="0.2">
      <c r="A14" t="s">
        <v>1</v>
      </c>
      <c r="B14" t="s">
        <v>202</v>
      </c>
      <c r="C14" s="70" t="s">
        <v>2</v>
      </c>
      <c r="D14">
        <v>7</v>
      </c>
      <c r="E14" s="70">
        <v>161.44399999999999</v>
      </c>
      <c r="F14">
        <v>6.3732199999999999</v>
      </c>
      <c r="G14">
        <v>6.1958950000000002</v>
      </c>
      <c r="H14">
        <v>6.0515749999999997</v>
      </c>
      <c r="I14">
        <v>6.2450910000000004</v>
      </c>
      <c r="J14">
        <v>6.6663870000000003</v>
      </c>
      <c r="K14">
        <v>7.32064</v>
      </c>
      <c r="L14">
        <v>8.2956240000000001</v>
      </c>
      <c r="M14">
        <v>9.1746040000000004</v>
      </c>
      <c r="N14">
        <v>10.25661</v>
      </c>
      <c r="O14">
        <v>11.628819999999999</v>
      </c>
      <c r="P14">
        <v>12.240869999999999</v>
      </c>
      <c r="Q14">
        <v>12.471959999999999</v>
      </c>
      <c r="R14">
        <v>12.57039</v>
      </c>
      <c r="S14">
        <v>12.6813</v>
      </c>
      <c r="T14">
        <v>12.62726</v>
      </c>
      <c r="U14">
        <v>12.342610000000001</v>
      </c>
      <c r="V14">
        <v>12.16747</v>
      </c>
      <c r="W14">
        <v>11.8058</v>
      </c>
      <c r="X14">
        <v>11.03589</v>
      </c>
      <c r="Y14">
        <v>10.66254</v>
      </c>
      <c r="Z14">
        <v>10.21321</v>
      </c>
      <c r="AA14">
        <v>9.5185019999999998</v>
      </c>
      <c r="AB14">
        <v>8.2697579999999995</v>
      </c>
      <c r="AC14">
        <v>7.0536719999999997</v>
      </c>
      <c r="AD14">
        <v>-9.3766000000000006E-3</v>
      </c>
      <c r="AE14">
        <v>-1.5348199999999999E-2</v>
      </c>
      <c r="AF14">
        <v>-1.4120300000000001E-2</v>
      </c>
      <c r="AG14">
        <v>-7.8171999999999998E-3</v>
      </c>
      <c r="AH14">
        <v>-1.02275E-2</v>
      </c>
      <c r="AI14">
        <v>-7.4979000000000001E-3</v>
      </c>
      <c r="AJ14">
        <v>-2.0220499999999999E-2</v>
      </c>
      <c r="AK14">
        <v>-1.22887E-2</v>
      </c>
      <c r="AL14">
        <v>-4.6549E-3</v>
      </c>
      <c r="AM14">
        <v>-1.1593300000000001E-2</v>
      </c>
      <c r="AN14">
        <v>-1.4600699999999999E-2</v>
      </c>
      <c r="AO14">
        <v>-2.0026000000000002E-3</v>
      </c>
      <c r="AP14">
        <v>3.1438999999999998E-3</v>
      </c>
      <c r="AQ14">
        <v>9.4684000000000001E-3</v>
      </c>
      <c r="AR14">
        <v>1.9927999999999999E-3</v>
      </c>
      <c r="AS14">
        <v>-3.6056999999999999E-3</v>
      </c>
      <c r="AT14">
        <v>2.826E-3</v>
      </c>
      <c r="AU14">
        <v>2.7068000000000001E-3</v>
      </c>
      <c r="AV14">
        <v>2.5531999999999999E-2</v>
      </c>
      <c r="AW14">
        <v>2.8914499999999999E-2</v>
      </c>
      <c r="AX14">
        <v>1.8406800000000001E-2</v>
      </c>
      <c r="AY14">
        <v>9.7420000000000007E-3</v>
      </c>
      <c r="AZ14">
        <v>1.3156299999999999E-2</v>
      </c>
      <c r="BA14">
        <v>1.4959999999999999E-3</v>
      </c>
      <c r="BB14">
        <v>-2.5967999999999998E-3</v>
      </c>
      <c r="BC14">
        <v>-7.8761999999999999E-3</v>
      </c>
      <c r="BD14">
        <v>-6.9037999999999999E-3</v>
      </c>
      <c r="BE14">
        <v>1.563E-4</v>
      </c>
      <c r="BF14">
        <v>-1.1731000000000001E-3</v>
      </c>
      <c r="BG14">
        <v>8.4300000000000003E-5</v>
      </c>
      <c r="BH14">
        <v>-1.37708E-2</v>
      </c>
      <c r="BI14">
        <v>-4.6882E-3</v>
      </c>
      <c r="BJ14">
        <v>5.0546000000000002E-3</v>
      </c>
      <c r="BK14">
        <v>-1.3288E-3</v>
      </c>
      <c r="BL14">
        <v>-4.3144999999999998E-3</v>
      </c>
      <c r="BM14">
        <v>8.1539000000000004E-3</v>
      </c>
      <c r="BN14">
        <v>1.32386E-2</v>
      </c>
      <c r="BO14">
        <v>2.0832099999999999E-2</v>
      </c>
      <c r="BP14">
        <v>1.3231400000000001E-2</v>
      </c>
      <c r="BQ14">
        <v>6.6778999999999996E-3</v>
      </c>
      <c r="BR14">
        <v>1.33813E-2</v>
      </c>
      <c r="BS14">
        <v>1.4467900000000001E-2</v>
      </c>
      <c r="BT14">
        <v>3.7691000000000002E-2</v>
      </c>
      <c r="BU14">
        <v>4.1272499999999997E-2</v>
      </c>
      <c r="BV14">
        <v>3.0406099999999998E-2</v>
      </c>
      <c r="BW14">
        <v>2.0632399999999999E-2</v>
      </c>
      <c r="BX14">
        <v>2.4056500000000001E-2</v>
      </c>
      <c r="BY14">
        <v>1.2529500000000001E-2</v>
      </c>
      <c r="BZ14">
        <v>2.0988000000000001E-3</v>
      </c>
      <c r="CA14">
        <v>-2.7011000000000001E-3</v>
      </c>
      <c r="CB14">
        <v>-1.9055999999999999E-3</v>
      </c>
      <c r="CC14">
        <v>5.6787000000000001E-3</v>
      </c>
      <c r="CD14">
        <v>5.0978999999999998E-3</v>
      </c>
      <c r="CE14">
        <v>5.3356999999999996E-3</v>
      </c>
      <c r="CF14">
        <v>-9.3037999999999992E-3</v>
      </c>
      <c r="CG14">
        <v>5.7589999999999996E-4</v>
      </c>
      <c r="CH14">
        <v>1.1779400000000001E-2</v>
      </c>
      <c r="CI14">
        <v>5.7803000000000004E-3</v>
      </c>
      <c r="CJ14">
        <v>2.8096000000000002E-3</v>
      </c>
      <c r="CK14">
        <v>1.5188200000000001E-2</v>
      </c>
      <c r="CL14">
        <v>2.02303E-2</v>
      </c>
      <c r="CM14">
        <v>2.8702600000000002E-2</v>
      </c>
      <c r="CN14">
        <v>2.1015300000000001E-2</v>
      </c>
      <c r="CO14">
        <v>1.38003E-2</v>
      </c>
      <c r="CP14">
        <v>2.06918E-2</v>
      </c>
      <c r="CQ14">
        <v>2.2613500000000002E-2</v>
      </c>
      <c r="CR14">
        <v>4.6112300000000002E-2</v>
      </c>
      <c r="CS14">
        <v>4.9831599999999997E-2</v>
      </c>
      <c r="CT14">
        <v>3.8716800000000003E-2</v>
      </c>
      <c r="CU14">
        <v>2.8174999999999999E-2</v>
      </c>
      <c r="CV14">
        <v>3.1605899999999999E-2</v>
      </c>
      <c r="CW14">
        <v>2.01713E-2</v>
      </c>
      <c r="CX14">
        <v>6.7945000000000002E-3</v>
      </c>
      <c r="CY14">
        <v>2.4740000000000001E-3</v>
      </c>
      <c r="CZ14">
        <v>3.0925000000000002E-3</v>
      </c>
      <c r="DA14">
        <v>1.12012E-2</v>
      </c>
      <c r="DB14">
        <v>1.1368899999999999E-2</v>
      </c>
      <c r="DC14">
        <v>1.05871E-2</v>
      </c>
      <c r="DD14">
        <v>-4.8367999999999996E-3</v>
      </c>
      <c r="DE14">
        <v>5.8399000000000003E-3</v>
      </c>
      <c r="DF14">
        <v>1.8504099999999999E-2</v>
      </c>
      <c r="DG14">
        <v>1.28895E-2</v>
      </c>
      <c r="DH14">
        <v>9.9337999999999996E-3</v>
      </c>
      <c r="DI14">
        <v>2.2222499999999999E-2</v>
      </c>
      <c r="DJ14">
        <v>2.72219E-2</v>
      </c>
      <c r="DK14">
        <v>3.6573099999999997E-2</v>
      </c>
      <c r="DL14">
        <v>2.8799100000000001E-2</v>
      </c>
      <c r="DM14">
        <v>2.0922699999999999E-2</v>
      </c>
      <c r="DN14">
        <v>2.80024E-2</v>
      </c>
      <c r="DO14">
        <v>3.07592E-2</v>
      </c>
      <c r="DP14">
        <v>5.4533499999999999E-2</v>
      </c>
      <c r="DQ14">
        <v>5.8390699999999997E-2</v>
      </c>
      <c r="DR14">
        <v>4.70275E-2</v>
      </c>
      <c r="DS14">
        <v>3.5717699999999998E-2</v>
      </c>
      <c r="DT14">
        <v>3.91554E-2</v>
      </c>
      <c r="DU14">
        <v>2.78131E-2</v>
      </c>
      <c r="DV14">
        <v>1.3574299999999999E-2</v>
      </c>
      <c r="DW14">
        <v>9.946E-3</v>
      </c>
      <c r="DX14">
        <v>1.0309E-2</v>
      </c>
      <c r="DY14">
        <v>1.9174699999999999E-2</v>
      </c>
      <c r="DZ14">
        <v>2.0423299999999998E-2</v>
      </c>
      <c r="EA14">
        <v>1.8169299999999999E-2</v>
      </c>
      <c r="EB14">
        <v>1.6129E-3</v>
      </c>
      <c r="EC14">
        <v>1.34404E-2</v>
      </c>
      <c r="ED14">
        <v>2.8213700000000001E-2</v>
      </c>
      <c r="EE14">
        <v>2.3154000000000001E-2</v>
      </c>
      <c r="EF14">
        <v>2.0219899999999999E-2</v>
      </c>
      <c r="EG14">
        <v>3.2378999999999998E-2</v>
      </c>
      <c r="EH14">
        <v>3.7316599999999998E-2</v>
      </c>
      <c r="EI14">
        <v>4.7936800000000002E-2</v>
      </c>
      <c r="EJ14">
        <v>4.0037799999999998E-2</v>
      </c>
      <c r="EK14">
        <v>3.1206299999999999E-2</v>
      </c>
      <c r="EL14">
        <v>3.8557599999999997E-2</v>
      </c>
      <c r="EM14">
        <v>4.2520200000000001E-2</v>
      </c>
      <c r="EN14">
        <v>6.6692500000000002E-2</v>
      </c>
      <c r="EO14">
        <v>7.0748699999999998E-2</v>
      </c>
      <c r="EP14">
        <v>5.9026799999999997E-2</v>
      </c>
      <c r="EQ14">
        <v>4.66081E-2</v>
      </c>
      <c r="ER14">
        <v>5.0055599999999999E-2</v>
      </c>
      <c r="ES14">
        <v>3.8846600000000002E-2</v>
      </c>
      <c r="ET14">
        <v>68.412329999999997</v>
      </c>
      <c r="EU14">
        <v>67.568049999999999</v>
      </c>
      <c r="EV14">
        <v>66.653769999999994</v>
      </c>
      <c r="EW14">
        <v>65.923599999999993</v>
      </c>
      <c r="EX14">
        <v>64.908230000000003</v>
      </c>
      <c r="EY14">
        <v>64.180440000000004</v>
      </c>
      <c r="EZ14">
        <v>63.73648</v>
      </c>
      <c r="FA14">
        <v>65.261830000000003</v>
      </c>
      <c r="FB14">
        <v>68.064819999999997</v>
      </c>
      <c r="FC14">
        <v>71.532589999999999</v>
      </c>
      <c r="FD14">
        <v>75.205420000000004</v>
      </c>
      <c r="FE14">
        <v>78.357749999999996</v>
      </c>
      <c r="FF14">
        <v>81.104190000000003</v>
      </c>
      <c r="FG14">
        <v>83.199359999999999</v>
      </c>
      <c r="FH14">
        <v>84.558909999999997</v>
      </c>
      <c r="FI14">
        <v>85.089280000000002</v>
      </c>
      <c r="FJ14">
        <v>84.725989999999996</v>
      </c>
      <c r="FK14">
        <v>83.744600000000005</v>
      </c>
      <c r="FL14">
        <v>81.242500000000007</v>
      </c>
      <c r="FM14">
        <v>77.796409999999995</v>
      </c>
      <c r="FN14">
        <v>74.723420000000004</v>
      </c>
      <c r="FO14">
        <v>72.081729999999993</v>
      </c>
      <c r="FP14">
        <v>70.483890000000002</v>
      </c>
      <c r="FQ14">
        <v>69.133080000000007</v>
      </c>
      <c r="FR14">
        <v>1</v>
      </c>
      <c r="FT14" s="44"/>
    </row>
    <row r="15" spans="1:176" x14ac:dyDescent="0.2">
      <c r="A15" t="s">
        <v>1</v>
      </c>
      <c r="B15" t="s">
        <v>204</v>
      </c>
      <c r="C15" s="70">
        <v>41773</v>
      </c>
      <c r="D15">
        <v>11</v>
      </c>
      <c r="E15" s="70">
        <v>635</v>
      </c>
      <c r="F15">
        <v>123.5098</v>
      </c>
      <c r="G15">
        <v>119.691</v>
      </c>
      <c r="H15">
        <v>117.68680000000001</v>
      </c>
      <c r="I15">
        <v>117.35899999999999</v>
      </c>
      <c r="J15">
        <v>118.4988</v>
      </c>
      <c r="K15">
        <v>122.2231</v>
      </c>
      <c r="L15">
        <v>129.6311</v>
      </c>
      <c r="M15">
        <v>138.1337</v>
      </c>
      <c r="N15">
        <v>146.45750000000001</v>
      </c>
      <c r="O15">
        <v>153.43639999999999</v>
      </c>
      <c r="P15">
        <v>160.91730000000001</v>
      </c>
      <c r="Q15">
        <v>165.92599999999999</v>
      </c>
      <c r="R15">
        <v>169.13890000000001</v>
      </c>
      <c r="S15">
        <v>170.2448</v>
      </c>
      <c r="T15">
        <v>171.78899999999999</v>
      </c>
      <c r="U15">
        <v>169.4384</v>
      </c>
      <c r="V15">
        <v>167.2175</v>
      </c>
      <c r="W15">
        <v>161.65979999999999</v>
      </c>
      <c r="X15">
        <v>154.68620000000001</v>
      </c>
      <c r="Y15">
        <v>148.12520000000001</v>
      </c>
      <c r="Z15">
        <v>144.9393</v>
      </c>
      <c r="AA15">
        <v>140.5557</v>
      </c>
      <c r="AB15">
        <v>135.87110000000001</v>
      </c>
      <c r="AC15">
        <v>131.4485</v>
      </c>
      <c r="AD15">
        <v>0.2787367</v>
      </c>
      <c r="AE15">
        <v>-1.6366499999999999E-2</v>
      </c>
      <c r="AF15">
        <v>-0.18656349999999999</v>
      </c>
      <c r="AG15">
        <v>1.5563499999999999E-2</v>
      </c>
      <c r="AH15">
        <v>3.7074999999999997E-2</v>
      </c>
      <c r="AI15">
        <v>-0.40139180000000002</v>
      </c>
      <c r="AJ15">
        <v>8.0178899999999997E-2</v>
      </c>
      <c r="AK15">
        <v>5.59336E-2</v>
      </c>
      <c r="AL15">
        <v>-7.3048999999999996E-3</v>
      </c>
      <c r="AM15">
        <v>-4.7006399999999997E-2</v>
      </c>
      <c r="AN15">
        <v>9.8126900000000003E-2</v>
      </c>
      <c r="AO15">
        <v>1.8780669999999999</v>
      </c>
      <c r="AP15">
        <v>7.3186879999999999</v>
      </c>
      <c r="AQ15">
        <v>6.2209380000000003</v>
      </c>
      <c r="AR15">
        <v>5.8326830000000003</v>
      </c>
      <c r="AS15">
        <v>5.823258</v>
      </c>
      <c r="AT15">
        <v>4.1137329999999999</v>
      </c>
      <c r="AU15">
        <v>3.4582359999999999</v>
      </c>
      <c r="AV15">
        <v>3.4267319999999999</v>
      </c>
      <c r="AW15">
        <v>3.5057520000000002</v>
      </c>
      <c r="AX15">
        <v>2.0172539999999999</v>
      </c>
      <c r="AY15">
        <v>0.50754169999999998</v>
      </c>
      <c r="AZ15">
        <v>1.0668709999999999</v>
      </c>
      <c r="BA15">
        <v>0.92690870000000003</v>
      </c>
      <c r="BB15">
        <v>0.36093459999999999</v>
      </c>
      <c r="BC15">
        <v>4.8434100000000001E-2</v>
      </c>
      <c r="BD15">
        <v>-0.1216213</v>
      </c>
      <c r="BE15">
        <v>8.2093399999999997E-2</v>
      </c>
      <c r="BF15">
        <v>0.1038172</v>
      </c>
      <c r="BG15">
        <v>-0.26751659999999999</v>
      </c>
      <c r="BH15">
        <v>0.1325315</v>
      </c>
      <c r="BI15">
        <v>0.13764970000000001</v>
      </c>
      <c r="BJ15">
        <v>0.1366348</v>
      </c>
      <c r="BK15">
        <v>8.6478200000000005E-2</v>
      </c>
      <c r="BL15">
        <v>0.23122760000000001</v>
      </c>
      <c r="BM15">
        <v>2.0271129999999999</v>
      </c>
      <c r="BN15">
        <v>7.4597420000000003</v>
      </c>
      <c r="BO15">
        <v>6.3577430000000001</v>
      </c>
      <c r="BP15">
        <v>5.9834120000000004</v>
      </c>
      <c r="BQ15">
        <v>6.0000859999999996</v>
      </c>
      <c r="BR15">
        <v>4.3328980000000001</v>
      </c>
      <c r="BS15">
        <v>3.7402129999999998</v>
      </c>
      <c r="BT15">
        <v>3.7257220000000002</v>
      </c>
      <c r="BU15">
        <v>3.8278460000000001</v>
      </c>
      <c r="BV15">
        <v>2.3284129999999998</v>
      </c>
      <c r="BW15">
        <v>0.82002949999999997</v>
      </c>
      <c r="BX15">
        <v>1.3847449999999999</v>
      </c>
      <c r="BY15">
        <v>1.2233620000000001</v>
      </c>
      <c r="BZ15">
        <v>0.41786469999999998</v>
      </c>
      <c r="CA15">
        <v>9.3314800000000003E-2</v>
      </c>
      <c r="CB15">
        <v>-7.6642500000000002E-2</v>
      </c>
      <c r="CC15">
        <v>0.1281718</v>
      </c>
      <c r="CD15">
        <v>0.1500427</v>
      </c>
      <c r="CE15">
        <v>-0.17479500000000001</v>
      </c>
      <c r="CF15">
        <v>0.16879069999999999</v>
      </c>
      <c r="CG15">
        <v>0.194246</v>
      </c>
      <c r="CH15">
        <v>0.23632700000000001</v>
      </c>
      <c r="CI15">
        <v>0.17892920000000001</v>
      </c>
      <c r="CJ15">
        <v>0.3234128</v>
      </c>
      <c r="CK15">
        <v>2.1303420000000002</v>
      </c>
      <c r="CL15">
        <v>7.5574349999999999</v>
      </c>
      <c r="CM15">
        <v>6.4524939999999997</v>
      </c>
      <c r="CN15">
        <v>6.0878059999999996</v>
      </c>
      <c r="CO15">
        <v>6.1225560000000003</v>
      </c>
      <c r="CP15">
        <v>4.4846909999999998</v>
      </c>
      <c r="CQ15">
        <v>3.9355099999999998</v>
      </c>
      <c r="CR15">
        <v>3.932801</v>
      </c>
      <c r="CS15">
        <v>4.0509269999999997</v>
      </c>
      <c r="CT15">
        <v>2.5439210000000001</v>
      </c>
      <c r="CU15">
        <v>1.0364580000000001</v>
      </c>
      <c r="CV15">
        <v>1.604903</v>
      </c>
      <c r="CW15">
        <v>1.428685</v>
      </c>
      <c r="CX15">
        <v>0.47479470000000001</v>
      </c>
      <c r="CY15">
        <v>0.1381955</v>
      </c>
      <c r="CZ15">
        <v>-3.1663700000000003E-2</v>
      </c>
      <c r="DA15">
        <v>0.17425019999999999</v>
      </c>
      <c r="DB15">
        <v>0.1962682</v>
      </c>
      <c r="DC15">
        <v>-8.2073400000000005E-2</v>
      </c>
      <c r="DD15">
        <v>0.20504990000000001</v>
      </c>
      <c r="DE15">
        <v>0.25084230000000002</v>
      </c>
      <c r="DF15">
        <v>0.33601910000000001</v>
      </c>
      <c r="DG15">
        <v>0.27138030000000002</v>
      </c>
      <c r="DH15">
        <v>0.41559800000000002</v>
      </c>
      <c r="DI15">
        <v>2.233571</v>
      </c>
      <c r="DJ15">
        <v>7.6551280000000004</v>
      </c>
      <c r="DK15">
        <v>6.5472450000000002</v>
      </c>
      <c r="DL15">
        <v>6.1921999999999997</v>
      </c>
      <c r="DM15">
        <v>6.2450270000000003</v>
      </c>
      <c r="DN15">
        <v>4.6364840000000003</v>
      </c>
      <c r="DO15">
        <v>4.1308069999999999</v>
      </c>
      <c r="DP15">
        <v>4.1398809999999999</v>
      </c>
      <c r="DQ15">
        <v>4.2740080000000003</v>
      </c>
      <c r="DR15">
        <v>2.7594289999999999</v>
      </c>
      <c r="DS15">
        <v>1.2528859999999999</v>
      </c>
      <c r="DT15">
        <v>1.825062</v>
      </c>
      <c r="DU15">
        <v>1.6340079999999999</v>
      </c>
      <c r="DV15">
        <v>0.55699270000000001</v>
      </c>
      <c r="DW15">
        <v>0.20299610000000001</v>
      </c>
      <c r="DX15">
        <v>3.3278599999999998E-2</v>
      </c>
      <c r="DY15">
        <v>0.24077999999999999</v>
      </c>
      <c r="DZ15">
        <v>0.26301049999999998</v>
      </c>
      <c r="EA15">
        <v>5.1801800000000002E-2</v>
      </c>
      <c r="EB15">
        <v>0.25740249999999998</v>
      </c>
      <c r="EC15">
        <v>0.33255839999999998</v>
      </c>
      <c r="ED15">
        <v>0.47995880000000002</v>
      </c>
      <c r="EE15">
        <v>0.40486490000000003</v>
      </c>
      <c r="EF15">
        <v>0.54869880000000004</v>
      </c>
      <c r="EG15">
        <v>2.3826170000000002</v>
      </c>
      <c r="EH15">
        <v>7.7961809999999998</v>
      </c>
      <c r="EI15">
        <v>6.68405</v>
      </c>
      <c r="EJ15">
        <v>6.3429279999999997</v>
      </c>
      <c r="EK15">
        <v>6.4218539999999997</v>
      </c>
      <c r="EL15">
        <v>4.8556489999999997</v>
      </c>
      <c r="EM15">
        <v>4.4127850000000004</v>
      </c>
      <c r="EN15">
        <v>4.4388699999999996</v>
      </c>
      <c r="EO15">
        <v>4.596101</v>
      </c>
      <c r="EP15">
        <v>3.070589</v>
      </c>
      <c r="EQ15">
        <v>1.5653729999999999</v>
      </c>
      <c r="ER15">
        <v>2.1429360000000002</v>
      </c>
      <c r="ES15">
        <v>1.930461</v>
      </c>
      <c r="ET15">
        <v>67.065470000000005</v>
      </c>
      <c r="EU15">
        <v>65.928730000000002</v>
      </c>
      <c r="EV15">
        <v>64.499920000000003</v>
      </c>
      <c r="EW15">
        <v>63.890929999999997</v>
      </c>
      <c r="EX15">
        <v>63.262360000000001</v>
      </c>
      <c r="EY15">
        <v>62.43432</v>
      </c>
      <c r="EZ15">
        <v>63.066589999999998</v>
      </c>
      <c r="FA15">
        <v>66.619079999999997</v>
      </c>
      <c r="FB15">
        <v>71.455280000000002</v>
      </c>
      <c r="FC15">
        <v>76.543859999999995</v>
      </c>
      <c r="FD15">
        <v>80.998019999999997</v>
      </c>
      <c r="FE15">
        <v>84.797569999999993</v>
      </c>
      <c r="FF15">
        <v>87.236490000000003</v>
      </c>
      <c r="FG15">
        <v>88.817499999999995</v>
      </c>
      <c r="FH15">
        <v>90.227209999999999</v>
      </c>
      <c r="FI15">
        <v>90.461640000000003</v>
      </c>
      <c r="FJ15">
        <v>89.142560000000003</v>
      </c>
      <c r="FK15">
        <v>87.986459999999994</v>
      </c>
      <c r="FL15">
        <v>86.098650000000006</v>
      </c>
      <c r="FM15">
        <v>81.27055</v>
      </c>
      <c r="FN15">
        <v>77.28049</v>
      </c>
      <c r="FO15">
        <v>74.975080000000005</v>
      </c>
      <c r="FP15">
        <v>72.632670000000005</v>
      </c>
      <c r="FQ15">
        <v>70.776439999999994</v>
      </c>
      <c r="FR15">
        <v>1</v>
      </c>
      <c r="FT15" s="44"/>
    </row>
    <row r="16" spans="1:176" x14ac:dyDescent="0.2">
      <c r="A16" t="s">
        <v>1</v>
      </c>
      <c r="B16" t="s">
        <v>204</v>
      </c>
      <c r="C16" s="70">
        <v>41820</v>
      </c>
      <c r="D16">
        <v>82</v>
      </c>
      <c r="E16" s="70">
        <v>672</v>
      </c>
      <c r="F16">
        <v>489.24630000000002</v>
      </c>
      <c r="G16">
        <v>490.32429999999999</v>
      </c>
      <c r="H16">
        <v>490.9545</v>
      </c>
      <c r="I16">
        <v>495.0797</v>
      </c>
      <c r="J16">
        <v>503.8</v>
      </c>
      <c r="K16">
        <v>524.40340000000003</v>
      </c>
      <c r="L16">
        <v>548.78899999999999</v>
      </c>
      <c r="M16">
        <v>576.39440000000002</v>
      </c>
      <c r="N16">
        <v>597.9375</v>
      </c>
      <c r="O16">
        <v>622.77769999999998</v>
      </c>
      <c r="P16">
        <v>637.23530000000005</v>
      </c>
      <c r="Q16">
        <v>650.19529999999997</v>
      </c>
      <c r="R16">
        <v>651.08500000000004</v>
      </c>
      <c r="S16">
        <v>654.39980000000003</v>
      </c>
      <c r="T16">
        <v>652.16899999999998</v>
      </c>
      <c r="U16">
        <v>637.71270000000004</v>
      </c>
      <c r="V16">
        <v>626.99009999999998</v>
      </c>
      <c r="W16">
        <v>613.3098</v>
      </c>
      <c r="X16">
        <v>600.67589999999996</v>
      </c>
      <c r="Y16">
        <v>591.38760000000002</v>
      </c>
      <c r="Z16">
        <v>586.95320000000004</v>
      </c>
      <c r="AA16">
        <v>577.31179999999995</v>
      </c>
      <c r="AB16">
        <v>564.25030000000004</v>
      </c>
      <c r="AC16">
        <v>549.84050000000002</v>
      </c>
      <c r="AD16">
        <v>-5.1198990000000002</v>
      </c>
      <c r="AE16">
        <v>-4.429805</v>
      </c>
      <c r="AF16">
        <v>-3.5426980000000001</v>
      </c>
      <c r="AG16">
        <v>-3.6986289999999999</v>
      </c>
      <c r="AH16">
        <v>-3.0124080000000002</v>
      </c>
      <c r="AI16">
        <v>-2.163662</v>
      </c>
      <c r="AJ16">
        <v>1.15E-5</v>
      </c>
      <c r="AK16">
        <v>-0.48131390000000002</v>
      </c>
      <c r="AL16">
        <v>5.7999989999999997</v>
      </c>
      <c r="AM16">
        <v>6.9586119999999996</v>
      </c>
      <c r="AN16">
        <v>7.7773079999999997</v>
      </c>
      <c r="AO16">
        <v>12.485889999999999</v>
      </c>
      <c r="AP16">
        <v>48.043999999999997</v>
      </c>
      <c r="AQ16">
        <v>51.940359999999998</v>
      </c>
      <c r="AR16">
        <v>38.825879999999998</v>
      </c>
      <c r="AS16">
        <v>32.627989999999997</v>
      </c>
      <c r="AT16">
        <v>34.518360000000001</v>
      </c>
      <c r="AU16">
        <v>35.732370000000003</v>
      </c>
      <c r="AV16">
        <v>33.116909999999997</v>
      </c>
      <c r="AW16">
        <v>26.330079999999999</v>
      </c>
      <c r="AX16">
        <v>16.78518</v>
      </c>
      <c r="AY16">
        <v>6.1722549999999998</v>
      </c>
      <c r="AZ16">
        <v>1.2448539999999999</v>
      </c>
      <c r="BA16">
        <v>0.54507260000000002</v>
      </c>
      <c r="BB16">
        <v>-4.3325889999999996</v>
      </c>
      <c r="BC16">
        <v>-3.7975690000000002</v>
      </c>
      <c r="BD16">
        <v>-3.0009079999999999</v>
      </c>
      <c r="BE16">
        <v>-3.1226069999999999</v>
      </c>
      <c r="BF16">
        <v>-2.5554160000000001</v>
      </c>
      <c r="BG16">
        <v>-1.6713039999999999</v>
      </c>
      <c r="BH16">
        <v>0.53431050000000002</v>
      </c>
      <c r="BI16">
        <v>0.16342709999999999</v>
      </c>
      <c r="BJ16">
        <v>6.5464339999999996</v>
      </c>
      <c r="BK16">
        <v>7.721285</v>
      </c>
      <c r="BL16">
        <v>8.5720209999999994</v>
      </c>
      <c r="BM16">
        <v>13.34731</v>
      </c>
      <c r="BN16">
        <v>49.078859999999999</v>
      </c>
      <c r="BO16">
        <v>53.03875</v>
      </c>
      <c r="BP16">
        <v>39.903550000000003</v>
      </c>
      <c r="BQ16">
        <v>33.691229999999997</v>
      </c>
      <c r="BR16">
        <v>35.598930000000003</v>
      </c>
      <c r="BS16">
        <v>36.978520000000003</v>
      </c>
      <c r="BT16">
        <v>34.477229999999999</v>
      </c>
      <c r="BU16">
        <v>27.629010000000001</v>
      </c>
      <c r="BV16">
        <v>17.984310000000001</v>
      </c>
      <c r="BW16">
        <v>7.4027159999999999</v>
      </c>
      <c r="BX16">
        <v>2.5353409999999998</v>
      </c>
      <c r="BY16">
        <v>1.8097490000000001</v>
      </c>
      <c r="BZ16">
        <v>-3.7873000000000001</v>
      </c>
      <c r="CA16">
        <v>-3.3596840000000001</v>
      </c>
      <c r="CB16">
        <v>-2.6256659999999998</v>
      </c>
      <c r="CC16">
        <v>-2.7236549999999999</v>
      </c>
      <c r="CD16">
        <v>-2.2389060000000001</v>
      </c>
      <c r="CE16">
        <v>-1.3302989999999999</v>
      </c>
      <c r="CF16">
        <v>0.90436430000000001</v>
      </c>
      <c r="CG16">
        <v>0.60997270000000003</v>
      </c>
      <c r="CH16">
        <v>7.0634129999999997</v>
      </c>
      <c r="CI16">
        <v>8.2495100000000008</v>
      </c>
      <c r="CJ16">
        <v>9.1224380000000007</v>
      </c>
      <c r="CK16">
        <v>13.94393</v>
      </c>
      <c r="CL16">
        <v>49.7956</v>
      </c>
      <c r="CM16">
        <v>53.799500000000002</v>
      </c>
      <c r="CN16">
        <v>40.649940000000001</v>
      </c>
      <c r="CO16">
        <v>34.427630000000001</v>
      </c>
      <c r="CP16">
        <v>36.347320000000003</v>
      </c>
      <c r="CQ16">
        <v>37.841589999999997</v>
      </c>
      <c r="CR16">
        <v>35.419379999999997</v>
      </c>
      <c r="CS16">
        <v>28.528639999999999</v>
      </c>
      <c r="CT16">
        <v>18.814820000000001</v>
      </c>
      <c r="CU16">
        <v>8.2549299999999999</v>
      </c>
      <c r="CV16">
        <v>3.429128</v>
      </c>
      <c r="CW16">
        <v>2.6856610000000001</v>
      </c>
      <c r="CX16">
        <v>-3.2420110000000002</v>
      </c>
      <c r="CY16">
        <v>-2.9218000000000002</v>
      </c>
      <c r="CZ16">
        <v>-2.2504249999999999</v>
      </c>
      <c r="DA16">
        <v>-2.3247040000000001</v>
      </c>
      <c r="DB16">
        <v>-1.9223950000000001</v>
      </c>
      <c r="DC16">
        <v>-0.98929330000000004</v>
      </c>
      <c r="DD16">
        <v>1.2744180000000001</v>
      </c>
      <c r="DE16">
        <v>1.0565180000000001</v>
      </c>
      <c r="DF16">
        <v>7.5803909999999997</v>
      </c>
      <c r="DG16">
        <v>8.7777349999999998</v>
      </c>
      <c r="DH16">
        <v>9.6728550000000002</v>
      </c>
      <c r="DI16">
        <v>14.54055</v>
      </c>
      <c r="DJ16">
        <v>50.512349999999998</v>
      </c>
      <c r="DK16">
        <v>54.56024</v>
      </c>
      <c r="DL16">
        <v>41.396340000000002</v>
      </c>
      <c r="DM16">
        <v>35.164029999999997</v>
      </c>
      <c r="DN16">
        <v>37.095709999999997</v>
      </c>
      <c r="DO16">
        <v>38.70467</v>
      </c>
      <c r="DP16">
        <v>36.361530000000002</v>
      </c>
      <c r="DQ16">
        <v>29.428260000000002</v>
      </c>
      <c r="DR16">
        <v>19.645330000000001</v>
      </c>
      <c r="DS16">
        <v>9.1071430000000007</v>
      </c>
      <c r="DT16">
        <v>4.3229160000000002</v>
      </c>
      <c r="DU16">
        <v>3.561572</v>
      </c>
      <c r="DV16">
        <v>-2.454701</v>
      </c>
      <c r="DW16">
        <v>-2.2895639999999999</v>
      </c>
      <c r="DX16">
        <v>-1.7086349999999999</v>
      </c>
      <c r="DY16">
        <v>-1.7486820000000001</v>
      </c>
      <c r="DZ16">
        <v>-1.4654039999999999</v>
      </c>
      <c r="EA16">
        <v>-0.49693540000000003</v>
      </c>
      <c r="EB16">
        <v>1.8087169999999999</v>
      </c>
      <c r="EC16">
        <v>1.7012590000000001</v>
      </c>
      <c r="ED16">
        <v>8.3268260000000005</v>
      </c>
      <c r="EE16">
        <v>9.5404070000000001</v>
      </c>
      <c r="EF16">
        <v>10.46757</v>
      </c>
      <c r="EG16">
        <v>15.40197</v>
      </c>
      <c r="EH16">
        <v>51.54721</v>
      </c>
      <c r="EI16">
        <v>55.658630000000002</v>
      </c>
      <c r="EJ16">
        <v>42.47401</v>
      </c>
      <c r="EK16">
        <v>36.22728</v>
      </c>
      <c r="EL16">
        <v>38.176279999999998</v>
      </c>
      <c r="EM16">
        <v>39.95082</v>
      </c>
      <c r="EN16">
        <v>37.72184</v>
      </c>
      <c r="EO16">
        <v>30.72719</v>
      </c>
      <c r="EP16">
        <v>20.844449999999998</v>
      </c>
      <c r="EQ16">
        <v>10.3376</v>
      </c>
      <c r="ER16">
        <v>5.6134029999999999</v>
      </c>
      <c r="ES16">
        <v>4.8262489999999998</v>
      </c>
      <c r="ET16">
        <v>70.010120000000001</v>
      </c>
      <c r="EU16">
        <v>68.690200000000004</v>
      </c>
      <c r="EV16">
        <v>67.670389999999998</v>
      </c>
      <c r="EW16">
        <v>66.651929999999993</v>
      </c>
      <c r="EX16">
        <v>65.72466</v>
      </c>
      <c r="EY16">
        <v>64.945340000000002</v>
      </c>
      <c r="EZ16">
        <v>65.234909999999999</v>
      </c>
      <c r="FA16">
        <v>68.419880000000006</v>
      </c>
      <c r="FB16">
        <v>72.616699999999994</v>
      </c>
      <c r="FC16">
        <v>77.466419999999999</v>
      </c>
      <c r="FD16">
        <v>82.348479999999995</v>
      </c>
      <c r="FE16">
        <v>86.468860000000006</v>
      </c>
      <c r="FF16">
        <v>89.113709999999998</v>
      </c>
      <c r="FG16">
        <v>90.302629999999994</v>
      </c>
      <c r="FH16">
        <v>90.484430000000003</v>
      </c>
      <c r="FI16">
        <v>89.82441</v>
      </c>
      <c r="FJ16">
        <v>89.240049999999997</v>
      </c>
      <c r="FK16">
        <v>88.228279999999998</v>
      </c>
      <c r="FL16">
        <v>84.875969999999995</v>
      </c>
      <c r="FM16">
        <v>81.591920000000002</v>
      </c>
      <c r="FN16">
        <v>78.311030000000002</v>
      </c>
      <c r="FO16">
        <v>75.561599999999999</v>
      </c>
      <c r="FP16">
        <v>73.504649999999998</v>
      </c>
      <c r="FQ16">
        <v>71.963120000000004</v>
      </c>
      <c r="FR16">
        <v>1</v>
      </c>
      <c r="FT16" s="44"/>
    </row>
    <row r="17" spans="1:176" x14ac:dyDescent="0.2">
      <c r="A17" t="s">
        <v>1</v>
      </c>
      <c r="B17" t="s">
        <v>204</v>
      </c>
      <c r="C17" s="70">
        <v>41827</v>
      </c>
      <c r="D17">
        <v>74</v>
      </c>
      <c r="E17" s="70">
        <v>671</v>
      </c>
      <c r="F17">
        <v>489.10509999999999</v>
      </c>
      <c r="G17">
        <v>485.79160000000002</v>
      </c>
      <c r="H17">
        <v>480.4812</v>
      </c>
      <c r="I17">
        <v>480.12040000000002</v>
      </c>
      <c r="J17">
        <v>492.78620000000001</v>
      </c>
      <c r="K17">
        <v>515.61760000000004</v>
      </c>
      <c r="L17">
        <v>542.45550000000003</v>
      </c>
      <c r="M17">
        <v>561.72069999999997</v>
      </c>
      <c r="N17">
        <v>583.72159999999997</v>
      </c>
      <c r="O17">
        <v>605.12009999999998</v>
      </c>
      <c r="P17">
        <v>616.49009999999998</v>
      </c>
      <c r="Q17">
        <v>624.47280000000001</v>
      </c>
      <c r="R17">
        <v>623.12549999999999</v>
      </c>
      <c r="S17">
        <v>627.66039999999998</v>
      </c>
      <c r="T17">
        <v>627.9796</v>
      </c>
      <c r="U17">
        <v>612.00540000000001</v>
      </c>
      <c r="V17">
        <v>607.10979999999995</v>
      </c>
      <c r="W17">
        <v>594.197</v>
      </c>
      <c r="X17">
        <v>584.0992</v>
      </c>
      <c r="Y17">
        <v>581.55759999999998</v>
      </c>
      <c r="Z17">
        <v>580.67399999999998</v>
      </c>
      <c r="AA17">
        <v>569.82259999999997</v>
      </c>
      <c r="AB17">
        <v>550.84050000000002</v>
      </c>
      <c r="AC17">
        <v>539.40989999999999</v>
      </c>
      <c r="AD17">
        <v>-1.0529740000000001</v>
      </c>
      <c r="AE17">
        <v>-1.4275679999999999</v>
      </c>
      <c r="AF17">
        <v>-0.86866270000000001</v>
      </c>
      <c r="AG17">
        <v>0.4947452</v>
      </c>
      <c r="AH17">
        <v>0.2241949</v>
      </c>
      <c r="AI17">
        <v>0.53676440000000003</v>
      </c>
      <c r="AJ17">
        <v>0.678006</v>
      </c>
      <c r="AK17">
        <v>-0.41486719999999999</v>
      </c>
      <c r="AL17">
        <v>-1.2200439999999999</v>
      </c>
      <c r="AM17">
        <v>-2.2379630000000001</v>
      </c>
      <c r="AN17">
        <v>-0.30550559999999999</v>
      </c>
      <c r="AO17">
        <v>2.2217530000000001</v>
      </c>
      <c r="AP17">
        <v>15.990769999999999</v>
      </c>
      <c r="AQ17">
        <v>15.271420000000001</v>
      </c>
      <c r="AR17">
        <v>16.079049999999999</v>
      </c>
      <c r="AS17">
        <v>16.54025</v>
      </c>
      <c r="AT17">
        <v>16.036629999999999</v>
      </c>
      <c r="AU17">
        <v>16.095839999999999</v>
      </c>
      <c r="AV17">
        <v>11.871040000000001</v>
      </c>
      <c r="AW17">
        <v>11.449540000000001</v>
      </c>
      <c r="AX17">
        <v>3.4673020000000001</v>
      </c>
      <c r="AY17">
        <v>0.50422389999999995</v>
      </c>
      <c r="AZ17">
        <v>1.6299760000000001</v>
      </c>
      <c r="BA17">
        <v>1.5048049999999999</v>
      </c>
      <c r="BB17">
        <v>-0.73052130000000004</v>
      </c>
      <c r="BC17">
        <v>-1.154676</v>
      </c>
      <c r="BD17">
        <v>-0.63607829999999999</v>
      </c>
      <c r="BE17">
        <v>0.71059419999999995</v>
      </c>
      <c r="BF17">
        <v>0.4374323</v>
      </c>
      <c r="BG17">
        <v>0.75139049999999996</v>
      </c>
      <c r="BH17">
        <v>0.88334820000000003</v>
      </c>
      <c r="BI17">
        <v>-0.1562867</v>
      </c>
      <c r="BJ17">
        <v>-0.91526320000000005</v>
      </c>
      <c r="BK17">
        <v>-1.898442</v>
      </c>
      <c r="BL17">
        <v>9.8949099999999998E-2</v>
      </c>
      <c r="BM17">
        <v>2.6328740000000002</v>
      </c>
      <c r="BN17">
        <v>16.49513</v>
      </c>
      <c r="BO17">
        <v>15.84979</v>
      </c>
      <c r="BP17">
        <v>16.585699999999999</v>
      </c>
      <c r="BQ17">
        <v>16.97645</v>
      </c>
      <c r="BR17">
        <v>16.440429999999999</v>
      </c>
      <c r="BS17">
        <v>16.501159999999999</v>
      </c>
      <c r="BT17">
        <v>12.27563</v>
      </c>
      <c r="BU17">
        <v>11.850210000000001</v>
      </c>
      <c r="BV17">
        <v>3.8891990000000001</v>
      </c>
      <c r="BW17">
        <v>0.93685019999999997</v>
      </c>
      <c r="BX17">
        <v>2.0746199999999999</v>
      </c>
      <c r="BY17">
        <v>1.9631289999999999</v>
      </c>
      <c r="BZ17">
        <v>-0.50719170000000002</v>
      </c>
      <c r="CA17">
        <v>-0.9656711</v>
      </c>
      <c r="CB17">
        <v>-0.4749911</v>
      </c>
      <c r="CC17">
        <v>0.86009060000000004</v>
      </c>
      <c r="CD17">
        <v>0.58511979999999997</v>
      </c>
      <c r="CE17">
        <v>0.9000399</v>
      </c>
      <c r="CF17">
        <v>1.025568</v>
      </c>
      <c r="CG17">
        <v>2.28054E-2</v>
      </c>
      <c r="CH17">
        <v>-0.70417280000000004</v>
      </c>
      <c r="CI17">
        <v>-1.6632899999999999</v>
      </c>
      <c r="CJ17">
        <v>0.3790733</v>
      </c>
      <c r="CK17">
        <v>2.9176150000000001</v>
      </c>
      <c r="CL17">
        <v>16.844449999999998</v>
      </c>
      <c r="CM17">
        <v>16.25037</v>
      </c>
      <c r="CN17">
        <v>16.936589999999999</v>
      </c>
      <c r="CO17">
        <v>17.278559999999999</v>
      </c>
      <c r="CP17">
        <v>16.720099999999999</v>
      </c>
      <c r="CQ17">
        <v>16.781880000000001</v>
      </c>
      <c r="CR17">
        <v>12.55584</v>
      </c>
      <c r="CS17">
        <v>12.12771</v>
      </c>
      <c r="CT17">
        <v>4.1814039999999997</v>
      </c>
      <c r="CU17">
        <v>1.236486</v>
      </c>
      <c r="CV17">
        <v>2.3825789999999998</v>
      </c>
      <c r="CW17">
        <v>2.2805629999999999</v>
      </c>
      <c r="CX17">
        <v>-0.28386220000000001</v>
      </c>
      <c r="CY17">
        <v>-0.77666659999999998</v>
      </c>
      <c r="CZ17">
        <v>-0.31390380000000001</v>
      </c>
      <c r="DA17">
        <v>1.009587</v>
      </c>
      <c r="DB17">
        <v>0.7328074</v>
      </c>
      <c r="DC17">
        <v>1.048689</v>
      </c>
      <c r="DD17">
        <v>1.1677869999999999</v>
      </c>
      <c r="DE17">
        <v>0.20189750000000001</v>
      </c>
      <c r="DF17">
        <v>-0.49308239999999998</v>
      </c>
      <c r="DG17">
        <v>-1.4281379999999999</v>
      </c>
      <c r="DH17">
        <v>0.65919740000000004</v>
      </c>
      <c r="DI17">
        <v>3.202356</v>
      </c>
      <c r="DJ17">
        <v>17.193770000000001</v>
      </c>
      <c r="DK17">
        <v>16.650950000000002</v>
      </c>
      <c r="DL17">
        <v>17.287489999999998</v>
      </c>
      <c r="DM17">
        <v>17.580680000000001</v>
      </c>
      <c r="DN17">
        <v>16.999770000000002</v>
      </c>
      <c r="DO17">
        <v>17.0626</v>
      </c>
      <c r="DP17">
        <v>12.83606</v>
      </c>
      <c r="DQ17">
        <v>12.40521</v>
      </c>
      <c r="DR17">
        <v>4.4736079999999996</v>
      </c>
      <c r="DS17">
        <v>1.5361210000000001</v>
      </c>
      <c r="DT17">
        <v>2.6905380000000001</v>
      </c>
      <c r="DU17">
        <v>2.597998</v>
      </c>
      <c r="DV17">
        <v>3.8590199999999998E-2</v>
      </c>
      <c r="DW17">
        <v>-0.50377400000000006</v>
      </c>
      <c r="DX17">
        <v>-8.1319500000000003E-2</v>
      </c>
      <c r="DY17">
        <v>1.225436</v>
      </c>
      <c r="DZ17">
        <v>0.94604469999999996</v>
      </c>
      <c r="EA17">
        <v>1.263315</v>
      </c>
      <c r="EB17">
        <v>1.373129</v>
      </c>
      <c r="EC17">
        <v>0.460478</v>
      </c>
      <c r="ED17">
        <v>-0.18830150000000001</v>
      </c>
      <c r="EE17">
        <v>-1.088616</v>
      </c>
      <c r="EF17">
        <v>1.063652</v>
      </c>
      <c r="EG17">
        <v>3.6134770000000001</v>
      </c>
      <c r="EH17">
        <v>17.698129999999999</v>
      </c>
      <c r="EI17">
        <v>17.229320000000001</v>
      </c>
      <c r="EJ17">
        <v>17.794129999999999</v>
      </c>
      <c r="EK17">
        <v>18.01688</v>
      </c>
      <c r="EL17">
        <v>17.403569999999998</v>
      </c>
      <c r="EM17">
        <v>17.46791</v>
      </c>
      <c r="EN17">
        <v>13.24065</v>
      </c>
      <c r="EO17">
        <v>12.80589</v>
      </c>
      <c r="EP17">
        <v>4.895505</v>
      </c>
      <c r="EQ17">
        <v>1.9687479999999999</v>
      </c>
      <c r="ER17">
        <v>3.1351819999999999</v>
      </c>
      <c r="ES17">
        <v>3.0563220000000002</v>
      </c>
      <c r="ET17">
        <v>66.531949999999995</v>
      </c>
      <c r="EU17">
        <v>65.410960000000003</v>
      </c>
      <c r="EV17">
        <v>64.244659999999996</v>
      </c>
      <c r="EW17">
        <v>63.744779999999999</v>
      </c>
      <c r="EX17">
        <v>63.448340000000002</v>
      </c>
      <c r="EY17">
        <v>62.94153</v>
      </c>
      <c r="EZ17">
        <v>62.924770000000002</v>
      </c>
      <c r="FA17">
        <v>64.147819999999996</v>
      </c>
      <c r="FB17">
        <v>66.490319999999997</v>
      </c>
      <c r="FC17">
        <v>70.195099999999996</v>
      </c>
      <c r="FD17">
        <v>73.012969999999996</v>
      </c>
      <c r="FE17">
        <v>75.178640000000001</v>
      </c>
      <c r="FF17">
        <v>77.735029999999995</v>
      </c>
      <c r="FG17">
        <v>80.133080000000007</v>
      </c>
      <c r="FH17">
        <v>81.14246</v>
      </c>
      <c r="FI17">
        <v>80.909270000000006</v>
      </c>
      <c r="FJ17">
        <v>81.748519999999999</v>
      </c>
      <c r="FK17">
        <v>82.428070000000005</v>
      </c>
      <c r="FL17">
        <v>81.320499999999996</v>
      </c>
      <c r="FM17">
        <v>79.467510000000004</v>
      </c>
      <c r="FN17">
        <v>76.254549999999995</v>
      </c>
      <c r="FO17">
        <v>72.608919999999998</v>
      </c>
      <c r="FP17">
        <v>70.484210000000004</v>
      </c>
      <c r="FQ17">
        <v>68.944149999999993</v>
      </c>
      <c r="FR17">
        <v>1</v>
      </c>
      <c r="FT17" s="44"/>
    </row>
    <row r="18" spans="1:176" x14ac:dyDescent="0.2">
      <c r="A18" t="s">
        <v>1</v>
      </c>
      <c r="B18" t="s">
        <v>204</v>
      </c>
      <c r="C18" s="70">
        <v>41834</v>
      </c>
      <c r="D18">
        <v>0</v>
      </c>
      <c r="E18" s="70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 s="61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T18" s="44"/>
    </row>
    <row r="19" spans="1:176" x14ac:dyDescent="0.2">
      <c r="A19" t="s">
        <v>1</v>
      </c>
      <c r="B19" t="s">
        <v>204</v>
      </c>
      <c r="C19" s="70">
        <v>41848</v>
      </c>
      <c r="D19">
        <v>82</v>
      </c>
      <c r="E19" s="70">
        <v>673</v>
      </c>
      <c r="F19">
        <v>522.95100000000002</v>
      </c>
      <c r="G19">
        <v>518.50009999999997</v>
      </c>
      <c r="H19">
        <v>520.57680000000005</v>
      </c>
      <c r="I19">
        <v>524.45079999999996</v>
      </c>
      <c r="J19">
        <v>531.8383</v>
      </c>
      <c r="K19">
        <v>556.13319999999999</v>
      </c>
      <c r="L19">
        <v>587.19280000000003</v>
      </c>
      <c r="M19">
        <v>611.26289999999995</v>
      </c>
      <c r="N19">
        <v>629.61969999999997</v>
      </c>
      <c r="O19">
        <v>647.61670000000004</v>
      </c>
      <c r="P19">
        <v>657.52980000000002</v>
      </c>
      <c r="Q19">
        <v>668.45860000000005</v>
      </c>
      <c r="R19">
        <v>667.09659999999997</v>
      </c>
      <c r="S19">
        <v>677.6943</v>
      </c>
      <c r="T19">
        <v>679.63940000000002</v>
      </c>
      <c r="U19">
        <v>665.73069999999996</v>
      </c>
      <c r="V19">
        <v>651.79660000000001</v>
      </c>
      <c r="W19">
        <v>635.83550000000002</v>
      </c>
      <c r="X19">
        <v>624.52509999999995</v>
      </c>
      <c r="Y19">
        <v>615.85500000000002</v>
      </c>
      <c r="Z19">
        <v>611.14229999999998</v>
      </c>
      <c r="AA19">
        <v>602.40020000000004</v>
      </c>
      <c r="AB19">
        <v>587.43939999999998</v>
      </c>
      <c r="AC19">
        <v>576.99599999999998</v>
      </c>
      <c r="AD19">
        <v>0.43382150000000003</v>
      </c>
      <c r="AE19">
        <v>-0.1747727</v>
      </c>
      <c r="AF19">
        <v>-1.089995</v>
      </c>
      <c r="AG19">
        <v>-1.076651</v>
      </c>
      <c r="AH19">
        <v>-1.5460750000000001</v>
      </c>
      <c r="AI19">
        <v>-2.3594460000000002</v>
      </c>
      <c r="AJ19">
        <v>-2.3828149999999999</v>
      </c>
      <c r="AK19">
        <v>-9.1632400000000003E-2</v>
      </c>
      <c r="AL19">
        <v>-0.83732859999999998</v>
      </c>
      <c r="AM19">
        <v>-3.7428940000000002</v>
      </c>
      <c r="AN19">
        <v>-1.1702140000000001</v>
      </c>
      <c r="AO19">
        <v>6.5366960000000001</v>
      </c>
      <c r="AP19">
        <v>35.05209</v>
      </c>
      <c r="AQ19">
        <v>33.438839999999999</v>
      </c>
      <c r="AR19">
        <v>29.346440000000001</v>
      </c>
      <c r="AS19">
        <v>27.242940000000001</v>
      </c>
      <c r="AT19">
        <v>26.409739999999999</v>
      </c>
      <c r="AU19">
        <v>25.01728</v>
      </c>
      <c r="AV19">
        <v>24.72927</v>
      </c>
      <c r="AW19">
        <v>22.116720000000001</v>
      </c>
      <c r="AX19">
        <v>14.22485</v>
      </c>
      <c r="AY19">
        <v>2.1359119999999998</v>
      </c>
      <c r="AZ19">
        <v>2.4800409999999999</v>
      </c>
      <c r="BA19">
        <v>1.11138</v>
      </c>
      <c r="BB19">
        <v>1.258648</v>
      </c>
      <c r="BC19">
        <v>0.41947509999999999</v>
      </c>
      <c r="BD19">
        <v>-0.57105399999999995</v>
      </c>
      <c r="BE19">
        <v>-0.56364519999999996</v>
      </c>
      <c r="BF19">
        <v>-1.105386</v>
      </c>
      <c r="BG19">
        <v>-1.8764970000000001</v>
      </c>
      <c r="BH19">
        <v>-1.8742209999999999</v>
      </c>
      <c r="BI19">
        <v>0.5071502</v>
      </c>
      <c r="BJ19">
        <v>-0.21297430000000001</v>
      </c>
      <c r="BK19">
        <v>-3.136863</v>
      </c>
      <c r="BL19">
        <v>-0.51541159999999997</v>
      </c>
      <c r="BM19">
        <v>7.2396570000000002</v>
      </c>
      <c r="BN19">
        <v>35.908749999999998</v>
      </c>
      <c r="BO19">
        <v>34.362589999999997</v>
      </c>
      <c r="BP19">
        <v>30.30817</v>
      </c>
      <c r="BQ19">
        <v>28.19633</v>
      </c>
      <c r="BR19">
        <v>27.35304</v>
      </c>
      <c r="BS19">
        <v>26.09122</v>
      </c>
      <c r="BT19">
        <v>25.782969999999999</v>
      </c>
      <c r="BU19">
        <v>23.106349999999999</v>
      </c>
      <c r="BV19">
        <v>15.27603</v>
      </c>
      <c r="BW19">
        <v>3.2051820000000002</v>
      </c>
      <c r="BX19">
        <v>3.5858850000000002</v>
      </c>
      <c r="BY19">
        <v>2.1996250000000002</v>
      </c>
      <c r="BZ19">
        <v>1.82992</v>
      </c>
      <c r="CA19">
        <v>0.83104940000000005</v>
      </c>
      <c r="CB19">
        <v>-0.21163709999999999</v>
      </c>
      <c r="CC19">
        <v>-0.208339</v>
      </c>
      <c r="CD19">
        <v>-0.80016620000000005</v>
      </c>
      <c r="CE19">
        <v>-1.542008</v>
      </c>
      <c r="CF19">
        <v>-1.5219689999999999</v>
      </c>
      <c r="CG19">
        <v>0.92186509999999999</v>
      </c>
      <c r="CH19">
        <v>0.21945149999999999</v>
      </c>
      <c r="CI19">
        <v>-2.7171270000000001</v>
      </c>
      <c r="CJ19">
        <v>-6.18977E-2</v>
      </c>
      <c r="CK19">
        <v>7.7265259999999998</v>
      </c>
      <c r="CL19">
        <v>36.50206</v>
      </c>
      <c r="CM19">
        <v>35.002369999999999</v>
      </c>
      <c r="CN19">
        <v>30.974270000000001</v>
      </c>
      <c r="CO19">
        <v>28.856649999999998</v>
      </c>
      <c r="CP19">
        <v>28.00637</v>
      </c>
      <c r="CQ19">
        <v>26.835039999999999</v>
      </c>
      <c r="CR19">
        <v>26.51276</v>
      </c>
      <c r="CS19">
        <v>23.79177</v>
      </c>
      <c r="CT19">
        <v>16.004069999999999</v>
      </c>
      <c r="CU19">
        <v>3.9457550000000001</v>
      </c>
      <c r="CV19">
        <v>4.3517900000000003</v>
      </c>
      <c r="CW19">
        <v>2.9533390000000002</v>
      </c>
      <c r="CX19">
        <v>2.401192</v>
      </c>
      <c r="CY19">
        <v>1.242624</v>
      </c>
      <c r="CZ19">
        <v>0.14777979999999999</v>
      </c>
      <c r="DA19">
        <v>0.1469673</v>
      </c>
      <c r="DB19">
        <v>-0.49494630000000001</v>
      </c>
      <c r="DC19">
        <v>-1.207519</v>
      </c>
      <c r="DD19">
        <v>-1.169718</v>
      </c>
      <c r="DE19">
        <v>1.3365800000000001</v>
      </c>
      <c r="DF19">
        <v>0.65187729999999999</v>
      </c>
      <c r="DG19">
        <v>-2.2973910000000002</v>
      </c>
      <c r="DH19">
        <v>0.39161620000000003</v>
      </c>
      <c r="DI19">
        <v>8.2133939999999992</v>
      </c>
      <c r="DJ19">
        <v>37.095379999999999</v>
      </c>
      <c r="DK19">
        <v>35.642150000000001</v>
      </c>
      <c r="DL19">
        <v>31.640360000000001</v>
      </c>
      <c r="DM19">
        <v>29.516970000000001</v>
      </c>
      <c r="DN19">
        <v>28.659690000000001</v>
      </c>
      <c r="DO19">
        <v>27.578849999999999</v>
      </c>
      <c r="DP19">
        <v>27.242550000000001</v>
      </c>
      <c r="DQ19">
        <v>24.47719</v>
      </c>
      <c r="DR19">
        <v>16.732119999999998</v>
      </c>
      <c r="DS19">
        <v>4.6863279999999996</v>
      </c>
      <c r="DT19">
        <v>5.1176940000000002</v>
      </c>
      <c r="DU19">
        <v>3.7070539999999998</v>
      </c>
      <c r="DV19">
        <v>3.226019</v>
      </c>
      <c r="DW19">
        <v>1.8368720000000001</v>
      </c>
      <c r="DX19">
        <v>0.66672070000000005</v>
      </c>
      <c r="DY19">
        <v>0.65997309999999998</v>
      </c>
      <c r="DZ19">
        <v>-5.4257199999999998E-2</v>
      </c>
      <c r="EA19">
        <v>-0.72456960000000004</v>
      </c>
      <c r="EB19">
        <v>-0.66112360000000003</v>
      </c>
      <c r="EC19">
        <v>1.9353629999999999</v>
      </c>
      <c r="ED19">
        <v>1.276232</v>
      </c>
      <c r="EE19">
        <v>-1.6913590000000001</v>
      </c>
      <c r="EF19">
        <v>1.0464180000000001</v>
      </c>
      <c r="EG19">
        <v>8.9163549999999994</v>
      </c>
      <c r="EH19">
        <v>37.952030000000001</v>
      </c>
      <c r="EI19">
        <v>36.565899999999999</v>
      </c>
      <c r="EJ19">
        <v>32.602089999999997</v>
      </c>
      <c r="EK19">
        <v>30.470369999999999</v>
      </c>
      <c r="EL19">
        <v>29.603000000000002</v>
      </c>
      <c r="EM19">
        <v>28.65279</v>
      </c>
      <c r="EN19">
        <v>28.29626</v>
      </c>
      <c r="EO19">
        <v>25.466819999999998</v>
      </c>
      <c r="EP19">
        <v>17.783300000000001</v>
      </c>
      <c r="EQ19">
        <v>5.7555990000000001</v>
      </c>
      <c r="ER19">
        <v>6.2235389999999997</v>
      </c>
      <c r="ES19">
        <v>4.795299</v>
      </c>
      <c r="ET19">
        <v>69.936229999999995</v>
      </c>
      <c r="EU19">
        <v>69.016050000000007</v>
      </c>
      <c r="EV19">
        <v>68.075969999999998</v>
      </c>
      <c r="EW19">
        <v>66.911180000000002</v>
      </c>
      <c r="EX19">
        <v>66.160089999999997</v>
      </c>
      <c r="EY19">
        <v>65.88964</v>
      </c>
      <c r="EZ19">
        <v>65.649929999999998</v>
      </c>
      <c r="FA19">
        <v>66.421880000000002</v>
      </c>
      <c r="FB19">
        <v>69.092119999999994</v>
      </c>
      <c r="FC19">
        <v>72.081720000000004</v>
      </c>
      <c r="FD19">
        <v>75.34496</v>
      </c>
      <c r="FE19">
        <v>78.802700000000002</v>
      </c>
      <c r="FF19">
        <v>81.565299999999993</v>
      </c>
      <c r="FG19">
        <v>83.481120000000004</v>
      </c>
      <c r="FH19">
        <v>84.102779999999996</v>
      </c>
      <c r="FI19">
        <v>84.209429999999998</v>
      </c>
      <c r="FJ19">
        <v>83.338830000000002</v>
      </c>
      <c r="FK19">
        <v>82.821910000000003</v>
      </c>
      <c r="FL19">
        <v>81.301559999999995</v>
      </c>
      <c r="FM19">
        <v>78.512559999999993</v>
      </c>
      <c r="FN19">
        <v>75.730149999999995</v>
      </c>
      <c r="FO19">
        <v>73.824489999999997</v>
      </c>
      <c r="FP19">
        <v>72.591229999999996</v>
      </c>
      <c r="FQ19">
        <v>71.346500000000006</v>
      </c>
      <c r="FR19">
        <v>1</v>
      </c>
      <c r="FT19" s="44"/>
    </row>
    <row r="20" spans="1:176" x14ac:dyDescent="0.2">
      <c r="A20" t="s">
        <v>1</v>
      </c>
      <c r="B20" t="s">
        <v>204</v>
      </c>
      <c r="C20" s="70">
        <v>41849</v>
      </c>
      <c r="D20">
        <v>73</v>
      </c>
      <c r="E20" s="70">
        <v>672</v>
      </c>
      <c r="F20">
        <v>569.41499999999996</v>
      </c>
      <c r="G20">
        <v>557.5625</v>
      </c>
      <c r="H20">
        <v>550.46529999999996</v>
      </c>
      <c r="I20">
        <v>548.0684</v>
      </c>
      <c r="J20">
        <v>560.43320000000006</v>
      </c>
      <c r="K20">
        <v>585.44899999999996</v>
      </c>
      <c r="L20">
        <v>617.22069999999997</v>
      </c>
      <c r="M20">
        <v>634.37649999999996</v>
      </c>
      <c r="N20">
        <v>643.8587</v>
      </c>
      <c r="O20">
        <v>661.74959999999999</v>
      </c>
      <c r="P20">
        <v>672.85680000000002</v>
      </c>
      <c r="Q20">
        <v>679.03610000000003</v>
      </c>
      <c r="R20">
        <v>673.94730000000004</v>
      </c>
      <c r="S20">
        <v>678.52329999999995</v>
      </c>
      <c r="T20">
        <v>671.57219999999995</v>
      </c>
      <c r="U20">
        <v>654.92010000000005</v>
      </c>
      <c r="V20">
        <v>648.68230000000005</v>
      </c>
      <c r="W20">
        <v>635.55809999999997</v>
      </c>
      <c r="X20">
        <v>624.36630000000002</v>
      </c>
      <c r="Y20">
        <v>614.07560000000001</v>
      </c>
      <c r="Z20">
        <v>612.52800000000002</v>
      </c>
      <c r="AA20">
        <v>609.65689999999995</v>
      </c>
      <c r="AB20">
        <v>599.4556</v>
      </c>
      <c r="AC20">
        <v>585.67849999999999</v>
      </c>
      <c r="AD20">
        <v>4.7235940000000003</v>
      </c>
      <c r="AE20">
        <v>2.392935</v>
      </c>
      <c r="AF20">
        <v>1.670539</v>
      </c>
      <c r="AG20">
        <v>1.6444859999999999</v>
      </c>
      <c r="AH20">
        <v>7.0897299999999996E-2</v>
      </c>
      <c r="AI20">
        <v>-2.7478440000000002</v>
      </c>
      <c r="AJ20">
        <v>-3.7257549999999999</v>
      </c>
      <c r="AK20">
        <v>-3.623821</v>
      </c>
      <c r="AL20">
        <v>-2.191122</v>
      </c>
      <c r="AM20">
        <v>-2.917964</v>
      </c>
      <c r="AN20">
        <v>-1.769218</v>
      </c>
      <c r="AO20">
        <v>5.7115859999999996</v>
      </c>
      <c r="AP20">
        <v>24.188379999999999</v>
      </c>
      <c r="AQ20">
        <v>25.879270000000002</v>
      </c>
      <c r="AR20">
        <v>25.663350000000001</v>
      </c>
      <c r="AS20">
        <v>25.97081</v>
      </c>
      <c r="AT20">
        <v>22.2224</v>
      </c>
      <c r="AU20">
        <v>17.641749999999998</v>
      </c>
      <c r="AV20">
        <v>15.933339999999999</v>
      </c>
      <c r="AW20">
        <v>16.17069</v>
      </c>
      <c r="AX20">
        <v>11.011200000000001</v>
      </c>
      <c r="AY20">
        <v>9.5549280000000003</v>
      </c>
      <c r="AZ20">
        <v>9.164968</v>
      </c>
      <c r="BA20">
        <v>8.5634800000000002</v>
      </c>
      <c r="BB20">
        <v>5.1211250000000001</v>
      </c>
      <c r="BC20">
        <v>2.7733469999999998</v>
      </c>
      <c r="BD20">
        <v>1.930364</v>
      </c>
      <c r="BE20">
        <v>1.8636459999999999</v>
      </c>
      <c r="BF20">
        <v>0.32546710000000001</v>
      </c>
      <c r="BG20">
        <v>-2.4671970000000001</v>
      </c>
      <c r="BH20">
        <v>-3.4381599999999999</v>
      </c>
      <c r="BI20">
        <v>-3.3189929999999999</v>
      </c>
      <c r="BJ20">
        <v>-1.9278820000000001</v>
      </c>
      <c r="BK20">
        <v>-2.6327410000000002</v>
      </c>
      <c r="BL20">
        <v>-1.4450160000000001</v>
      </c>
      <c r="BM20">
        <v>6.0413680000000003</v>
      </c>
      <c r="BN20">
        <v>24.614640000000001</v>
      </c>
      <c r="BO20">
        <v>26.230219999999999</v>
      </c>
      <c r="BP20">
        <v>26.019629999999999</v>
      </c>
      <c r="BQ20">
        <v>26.330480000000001</v>
      </c>
      <c r="BR20">
        <v>22.556100000000001</v>
      </c>
      <c r="BS20">
        <v>17.987130000000001</v>
      </c>
      <c r="BT20">
        <v>16.28471</v>
      </c>
      <c r="BU20">
        <v>16.517890000000001</v>
      </c>
      <c r="BV20">
        <v>11.395239999999999</v>
      </c>
      <c r="BW20">
        <v>9.9544479999999993</v>
      </c>
      <c r="BX20">
        <v>9.5107370000000007</v>
      </c>
      <c r="BY20">
        <v>8.9094280000000001</v>
      </c>
      <c r="BZ20">
        <v>5.3964540000000003</v>
      </c>
      <c r="CA20">
        <v>3.0368200000000001</v>
      </c>
      <c r="CB20">
        <v>2.1103179999999999</v>
      </c>
      <c r="CC20">
        <v>2.0154359999999998</v>
      </c>
      <c r="CD20">
        <v>0.50178129999999999</v>
      </c>
      <c r="CE20">
        <v>-2.272821</v>
      </c>
      <c r="CF20">
        <v>-3.238972</v>
      </c>
      <c r="CG20">
        <v>-3.1078700000000001</v>
      </c>
      <c r="CH20">
        <v>-1.7455620000000001</v>
      </c>
      <c r="CI20">
        <v>-2.4351959999999999</v>
      </c>
      <c r="CJ20">
        <v>-1.220475</v>
      </c>
      <c r="CK20">
        <v>6.269774</v>
      </c>
      <c r="CL20">
        <v>24.909859999999998</v>
      </c>
      <c r="CM20">
        <v>26.473299999999998</v>
      </c>
      <c r="CN20">
        <v>26.266390000000001</v>
      </c>
      <c r="CO20">
        <v>26.57958</v>
      </c>
      <c r="CP20">
        <v>22.787220000000001</v>
      </c>
      <c r="CQ20">
        <v>18.226330000000001</v>
      </c>
      <c r="CR20">
        <v>16.52806</v>
      </c>
      <c r="CS20">
        <v>16.75836</v>
      </c>
      <c r="CT20">
        <v>11.66122</v>
      </c>
      <c r="CU20">
        <v>10.23115</v>
      </c>
      <c r="CV20">
        <v>9.750216</v>
      </c>
      <c r="CW20">
        <v>9.1490290000000005</v>
      </c>
      <c r="CX20">
        <v>5.6717820000000003</v>
      </c>
      <c r="CY20">
        <v>3.3002919999999998</v>
      </c>
      <c r="CZ20">
        <v>2.2902719999999999</v>
      </c>
      <c r="DA20">
        <v>2.1672259999999999</v>
      </c>
      <c r="DB20">
        <v>0.67809549999999996</v>
      </c>
      <c r="DC20">
        <v>-2.078446</v>
      </c>
      <c r="DD20">
        <v>-3.039784</v>
      </c>
      <c r="DE20">
        <v>-2.8967480000000001</v>
      </c>
      <c r="DF20">
        <v>-1.5632429999999999</v>
      </c>
      <c r="DG20">
        <v>-2.2376520000000002</v>
      </c>
      <c r="DH20">
        <v>-0.99593339999999997</v>
      </c>
      <c r="DI20">
        <v>6.4981799999999996</v>
      </c>
      <c r="DJ20">
        <v>25.205089999999998</v>
      </c>
      <c r="DK20">
        <v>26.716370000000001</v>
      </c>
      <c r="DL20">
        <v>26.51315</v>
      </c>
      <c r="DM20">
        <v>26.828679999999999</v>
      </c>
      <c r="DN20">
        <v>23.018339999999998</v>
      </c>
      <c r="DO20">
        <v>18.465530000000001</v>
      </c>
      <c r="DP20">
        <v>16.771419999999999</v>
      </c>
      <c r="DQ20">
        <v>16.998830000000002</v>
      </c>
      <c r="DR20">
        <v>11.927210000000001</v>
      </c>
      <c r="DS20">
        <v>10.507860000000001</v>
      </c>
      <c r="DT20">
        <v>9.9896940000000001</v>
      </c>
      <c r="DU20">
        <v>9.3886299999999991</v>
      </c>
      <c r="DV20">
        <v>6.0693140000000003</v>
      </c>
      <c r="DW20">
        <v>3.6807050000000001</v>
      </c>
      <c r="DX20">
        <v>2.5500970000000001</v>
      </c>
      <c r="DY20">
        <v>2.3863850000000002</v>
      </c>
      <c r="DZ20">
        <v>0.93266530000000003</v>
      </c>
      <c r="EA20">
        <v>-1.7977989999999999</v>
      </c>
      <c r="EB20">
        <v>-2.752189</v>
      </c>
      <c r="EC20">
        <v>-2.59192</v>
      </c>
      <c r="ED20">
        <v>-1.300003</v>
      </c>
      <c r="EE20">
        <v>-1.952429</v>
      </c>
      <c r="EF20">
        <v>-0.67173139999999998</v>
      </c>
      <c r="EG20">
        <v>6.8279620000000003</v>
      </c>
      <c r="EH20">
        <v>25.631340000000002</v>
      </c>
      <c r="EI20">
        <v>27.067329999999998</v>
      </c>
      <c r="EJ20">
        <v>26.869420000000002</v>
      </c>
      <c r="EK20">
        <v>27.18834</v>
      </c>
      <c r="EL20">
        <v>23.352039999999999</v>
      </c>
      <c r="EM20">
        <v>18.8109</v>
      </c>
      <c r="EN20">
        <v>17.122789999999998</v>
      </c>
      <c r="EO20">
        <v>17.346029999999999</v>
      </c>
      <c r="EP20">
        <v>12.311249999999999</v>
      </c>
      <c r="EQ20">
        <v>10.90738</v>
      </c>
      <c r="ER20">
        <v>10.335459999999999</v>
      </c>
      <c r="ES20">
        <v>9.7345769999999998</v>
      </c>
      <c r="ET20">
        <v>70.542400000000001</v>
      </c>
      <c r="EU20">
        <v>69.557760000000002</v>
      </c>
      <c r="EV20">
        <v>68.91328</v>
      </c>
      <c r="EW20">
        <v>68.260059999999996</v>
      </c>
      <c r="EX20">
        <v>67.087739999999997</v>
      </c>
      <c r="EY20">
        <v>66.117009999999993</v>
      </c>
      <c r="EZ20">
        <v>65.651570000000007</v>
      </c>
      <c r="FA20">
        <v>66.769630000000006</v>
      </c>
      <c r="FB20">
        <v>69.123530000000002</v>
      </c>
      <c r="FC20">
        <v>72.614720000000005</v>
      </c>
      <c r="FD20">
        <v>76.803960000000004</v>
      </c>
      <c r="FE20">
        <v>80.300070000000005</v>
      </c>
      <c r="FF20">
        <v>82.615520000000004</v>
      </c>
      <c r="FG20">
        <v>84.838830000000002</v>
      </c>
      <c r="FH20">
        <v>86.31747</v>
      </c>
      <c r="FI20">
        <v>87.658209999999997</v>
      </c>
      <c r="FJ20">
        <v>87.90804</v>
      </c>
      <c r="FK20">
        <v>87.548289999999994</v>
      </c>
      <c r="FL20">
        <v>85.550579999999997</v>
      </c>
      <c r="FM20">
        <v>82.155609999999996</v>
      </c>
      <c r="FN20">
        <v>78.623379999999997</v>
      </c>
      <c r="FO20">
        <v>75.816659999999999</v>
      </c>
      <c r="FP20">
        <v>73.848730000000003</v>
      </c>
      <c r="FQ20">
        <v>72.524199999999993</v>
      </c>
      <c r="FR20">
        <v>1</v>
      </c>
      <c r="FT20" s="44"/>
    </row>
    <row r="21" spans="1:176" x14ac:dyDescent="0.2">
      <c r="A21" t="s">
        <v>1</v>
      </c>
      <c r="B21" t="s">
        <v>204</v>
      </c>
      <c r="C21" s="70">
        <v>41850</v>
      </c>
      <c r="D21">
        <v>75</v>
      </c>
      <c r="E21" s="70">
        <v>672</v>
      </c>
      <c r="F21">
        <v>579.89509999999996</v>
      </c>
      <c r="G21">
        <v>566.4452</v>
      </c>
      <c r="H21">
        <v>554.8691</v>
      </c>
      <c r="I21">
        <v>552.57920000000001</v>
      </c>
      <c r="J21">
        <v>560.90309999999999</v>
      </c>
      <c r="K21">
        <v>578.35019999999997</v>
      </c>
      <c r="L21">
        <v>607.98739999999998</v>
      </c>
      <c r="M21">
        <v>626.08010000000002</v>
      </c>
      <c r="N21">
        <v>644.35040000000004</v>
      </c>
      <c r="O21">
        <v>656.0598</v>
      </c>
      <c r="P21">
        <v>668.35490000000004</v>
      </c>
      <c r="Q21">
        <v>678.07270000000005</v>
      </c>
      <c r="R21">
        <v>674.57820000000004</v>
      </c>
      <c r="S21">
        <v>680.64020000000005</v>
      </c>
      <c r="T21">
        <v>679.66020000000003</v>
      </c>
      <c r="U21">
        <v>673.01670000000001</v>
      </c>
      <c r="V21">
        <v>667.25289999999995</v>
      </c>
      <c r="W21">
        <v>654.29359999999997</v>
      </c>
      <c r="X21">
        <v>641.16309999999999</v>
      </c>
      <c r="Y21">
        <v>630.15449999999998</v>
      </c>
      <c r="Z21">
        <v>627.55169999999998</v>
      </c>
      <c r="AA21">
        <v>620.60889999999995</v>
      </c>
      <c r="AB21">
        <v>603.90070000000003</v>
      </c>
      <c r="AC21">
        <v>591.32429999999999</v>
      </c>
      <c r="AD21">
        <v>5.1620689999999998</v>
      </c>
      <c r="AE21">
        <v>-0.89207829999999999</v>
      </c>
      <c r="AF21">
        <v>-1.353923</v>
      </c>
      <c r="AG21">
        <v>-0.21430389999999999</v>
      </c>
      <c r="AH21">
        <v>-1.27495</v>
      </c>
      <c r="AI21">
        <v>-2.275423</v>
      </c>
      <c r="AJ21">
        <v>-1.2898829999999999</v>
      </c>
      <c r="AK21">
        <v>-2.0793620000000002</v>
      </c>
      <c r="AL21">
        <v>-0.86183460000000001</v>
      </c>
      <c r="AM21">
        <v>-0.68446459999999998</v>
      </c>
      <c r="AN21">
        <v>-0.27575899999999998</v>
      </c>
      <c r="AO21">
        <v>7.2782590000000003</v>
      </c>
      <c r="AP21">
        <v>21.225709999999999</v>
      </c>
      <c r="AQ21">
        <v>21.71039</v>
      </c>
      <c r="AR21">
        <v>20.511590000000002</v>
      </c>
      <c r="AS21">
        <v>25.642399999999999</v>
      </c>
      <c r="AT21">
        <v>24.543410000000002</v>
      </c>
      <c r="AU21">
        <v>22.732530000000001</v>
      </c>
      <c r="AV21">
        <v>22.93168</v>
      </c>
      <c r="AW21">
        <v>22.83231</v>
      </c>
      <c r="AX21">
        <v>12.25066</v>
      </c>
      <c r="AY21">
        <v>4.956658</v>
      </c>
      <c r="AZ21">
        <v>2.4335239999999998</v>
      </c>
      <c r="BA21">
        <v>3.2001580000000001</v>
      </c>
      <c r="BB21">
        <v>5.8404769999999999</v>
      </c>
      <c r="BC21">
        <v>-0.32346140000000001</v>
      </c>
      <c r="BD21">
        <v>-0.86856290000000003</v>
      </c>
      <c r="BE21">
        <v>0.17511550000000001</v>
      </c>
      <c r="BF21">
        <v>-0.88819899999999996</v>
      </c>
      <c r="BG21">
        <v>-1.828308</v>
      </c>
      <c r="BH21">
        <v>-0.87217630000000002</v>
      </c>
      <c r="BI21">
        <v>-1.5996509999999999</v>
      </c>
      <c r="BJ21">
        <v>-0.40474329999999997</v>
      </c>
      <c r="BK21">
        <v>-0.22126390000000001</v>
      </c>
      <c r="BL21">
        <v>0.2202006</v>
      </c>
      <c r="BM21">
        <v>7.8039759999999996</v>
      </c>
      <c r="BN21">
        <v>21.832840000000001</v>
      </c>
      <c r="BO21">
        <v>22.366530000000001</v>
      </c>
      <c r="BP21">
        <v>21.172470000000001</v>
      </c>
      <c r="BQ21">
        <v>26.3263</v>
      </c>
      <c r="BR21">
        <v>25.23536</v>
      </c>
      <c r="BS21">
        <v>23.478819999999999</v>
      </c>
      <c r="BT21">
        <v>23.704809999999998</v>
      </c>
      <c r="BU21">
        <v>23.583580000000001</v>
      </c>
      <c r="BV21">
        <v>12.99119</v>
      </c>
      <c r="BW21">
        <v>5.6885880000000002</v>
      </c>
      <c r="BX21">
        <v>3.2256879999999999</v>
      </c>
      <c r="BY21">
        <v>4.0487390000000003</v>
      </c>
      <c r="BZ21">
        <v>6.3103400000000001</v>
      </c>
      <c r="CA21">
        <v>7.0361000000000007E-2</v>
      </c>
      <c r="CB21">
        <v>-0.53240379999999998</v>
      </c>
      <c r="CC21">
        <v>0.4448262</v>
      </c>
      <c r="CD21">
        <v>-0.62033640000000001</v>
      </c>
      <c r="CE21">
        <v>-1.5186360000000001</v>
      </c>
      <c r="CF21">
        <v>-0.58287389999999994</v>
      </c>
      <c r="CG21">
        <v>-1.267404</v>
      </c>
      <c r="CH21">
        <v>-8.8163199999999997E-2</v>
      </c>
      <c r="CI21">
        <v>9.9547499999999997E-2</v>
      </c>
      <c r="CJ21">
        <v>0.56370070000000005</v>
      </c>
      <c r="CK21">
        <v>8.1680860000000006</v>
      </c>
      <c r="CL21">
        <v>22.253340000000001</v>
      </c>
      <c r="CM21">
        <v>22.820969999999999</v>
      </c>
      <c r="CN21">
        <v>21.630189999999999</v>
      </c>
      <c r="CO21">
        <v>26.799969999999998</v>
      </c>
      <c r="CP21">
        <v>25.714600000000001</v>
      </c>
      <c r="CQ21">
        <v>23.99569</v>
      </c>
      <c r="CR21">
        <v>24.240279999999998</v>
      </c>
      <c r="CS21">
        <v>24.103909999999999</v>
      </c>
      <c r="CT21">
        <v>13.50408</v>
      </c>
      <c r="CU21">
        <v>6.1955200000000001</v>
      </c>
      <c r="CV21">
        <v>3.7743380000000002</v>
      </c>
      <c r="CW21">
        <v>4.6364650000000003</v>
      </c>
      <c r="CX21">
        <v>6.7802030000000002</v>
      </c>
      <c r="CY21">
        <v>0.46418330000000002</v>
      </c>
      <c r="CZ21">
        <v>-0.19624459999999999</v>
      </c>
      <c r="DA21">
        <v>0.71453679999999997</v>
      </c>
      <c r="DB21">
        <v>-0.3524738</v>
      </c>
      <c r="DC21">
        <v>-1.2089650000000001</v>
      </c>
      <c r="DD21">
        <v>-0.29357159999999999</v>
      </c>
      <c r="DE21">
        <v>-0.93515729999999997</v>
      </c>
      <c r="DF21">
        <v>0.22841690000000001</v>
      </c>
      <c r="DG21">
        <v>0.42035879999999998</v>
      </c>
      <c r="DH21">
        <v>0.90720080000000003</v>
      </c>
      <c r="DI21">
        <v>8.5321960000000008</v>
      </c>
      <c r="DJ21">
        <v>22.673829999999999</v>
      </c>
      <c r="DK21">
        <v>23.275400000000001</v>
      </c>
      <c r="DL21">
        <v>22.087910000000001</v>
      </c>
      <c r="DM21">
        <v>27.27364</v>
      </c>
      <c r="DN21">
        <v>26.193840000000002</v>
      </c>
      <c r="DO21">
        <v>24.51257</v>
      </c>
      <c r="DP21">
        <v>24.775749999999999</v>
      </c>
      <c r="DQ21">
        <v>24.62424</v>
      </c>
      <c r="DR21">
        <v>14.016970000000001</v>
      </c>
      <c r="DS21">
        <v>6.7024520000000001</v>
      </c>
      <c r="DT21">
        <v>4.3229889999999997</v>
      </c>
      <c r="DU21">
        <v>5.2241900000000001</v>
      </c>
      <c r="DV21">
        <v>7.4586110000000003</v>
      </c>
      <c r="DW21">
        <v>1.0327999999999999</v>
      </c>
      <c r="DX21">
        <v>0.28911589999999998</v>
      </c>
      <c r="DY21">
        <v>1.1039559999999999</v>
      </c>
      <c r="DZ21">
        <v>3.4277299999999997E-2</v>
      </c>
      <c r="EA21">
        <v>-0.76184960000000002</v>
      </c>
      <c r="EB21">
        <v>0.124135</v>
      </c>
      <c r="EC21">
        <v>-0.45544570000000001</v>
      </c>
      <c r="ED21">
        <v>0.68550829999999996</v>
      </c>
      <c r="EE21">
        <v>0.88355950000000005</v>
      </c>
      <c r="EF21">
        <v>1.40316</v>
      </c>
      <c r="EG21">
        <v>9.0579129999999992</v>
      </c>
      <c r="EH21">
        <v>23.28096</v>
      </c>
      <c r="EI21">
        <v>23.931539999999998</v>
      </c>
      <c r="EJ21">
        <v>22.74879</v>
      </c>
      <c r="EK21">
        <v>27.957540000000002</v>
      </c>
      <c r="EL21">
        <v>26.88579</v>
      </c>
      <c r="EM21">
        <v>25.258849999999999</v>
      </c>
      <c r="EN21">
        <v>25.54888</v>
      </c>
      <c r="EO21">
        <v>25.375509999999998</v>
      </c>
      <c r="EP21">
        <v>14.7575</v>
      </c>
      <c r="EQ21">
        <v>7.4343810000000001</v>
      </c>
      <c r="ER21">
        <v>5.1151520000000001</v>
      </c>
      <c r="ES21">
        <v>6.0727710000000004</v>
      </c>
      <c r="ET21">
        <v>71.252039999999994</v>
      </c>
      <c r="EU21">
        <v>69.840789999999998</v>
      </c>
      <c r="EV21">
        <v>68.922420000000002</v>
      </c>
      <c r="EW21">
        <v>68.183300000000003</v>
      </c>
      <c r="EX21">
        <v>67.136030000000005</v>
      </c>
      <c r="EY21">
        <v>66.594239999999999</v>
      </c>
      <c r="EZ21">
        <v>66.209379999999996</v>
      </c>
      <c r="FA21">
        <v>67.078059999999994</v>
      </c>
      <c r="FB21">
        <v>68.970650000000006</v>
      </c>
      <c r="FC21">
        <v>72.114490000000004</v>
      </c>
      <c r="FD21">
        <v>75.298689999999993</v>
      </c>
      <c r="FE21">
        <v>78.282259999999994</v>
      </c>
      <c r="FF21">
        <v>81.254990000000006</v>
      </c>
      <c r="FG21">
        <v>83.221149999999994</v>
      </c>
      <c r="FH21">
        <v>84.700550000000007</v>
      </c>
      <c r="FI21">
        <v>86.365200000000002</v>
      </c>
      <c r="FJ21">
        <v>86.502840000000006</v>
      </c>
      <c r="FK21">
        <v>85.883229999999998</v>
      </c>
      <c r="FL21">
        <v>84.684150000000002</v>
      </c>
      <c r="FM21">
        <v>81.794899999999998</v>
      </c>
      <c r="FN21">
        <v>77.677670000000006</v>
      </c>
      <c r="FO21">
        <v>75.068219999999997</v>
      </c>
      <c r="FP21">
        <v>72.837649999999996</v>
      </c>
      <c r="FQ21">
        <v>70.879429999999999</v>
      </c>
      <c r="FR21">
        <v>1</v>
      </c>
      <c r="FT21" s="44"/>
    </row>
    <row r="22" spans="1:176" x14ac:dyDescent="0.2">
      <c r="A22" t="s">
        <v>1</v>
      </c>
      <c r="B22" t="s">
        <v>204</v>
      </c>
      <c r="C22" s="70">
        <v>41851</v>
      </c>
      <c r="D22">
        <v>63</v>
      </c>
      <c r="E22" s="70">
        <v>671</v>
      </c>
      <c r="F22">
        <v>579.09190000000001</v>
      </c>
      <c r="G22">
        <v>569.00919999999996</v>
      </c>
      <c r="H22">
        <v>560.45719999999994</v>
      </c>
      <c r="I22">
        <v>558.38649999999996</v>
      </c>
      <c r="J22">
        <v>568.57640000000004</v>
      </c>
      <c r="K22">
        <v>588.51509999999996</v>
      </c>
      <c r="L22">
        <v>618.63160000000005</v>
      </c>
      <c r="M22">
        <v>639.96990000000005</v>
      </c>
      <c r="N22">
        <v>657.00139999999999</v>
      </c>
      <c r="O22">
        <v>668.87860000000001</v>
      </c>
      <c r="P22">
        <v>674.44309999999996</v>
      </c>
      <c r="Q22">
        <v>683.11149999999998</v>
      </c>
      <c r="R22">
        <v>681.36900000000003</v>
      </c>
      <c r="S22">
        <v>687.39530000000002</v>
      </c>
      <c r="T22">
        <v>686.34019999999998</v>
      </c>
      <c r="U22">
        <v>675.56600000000003</v>
      </c>
      <c r="V22">
        <v>667.68039999999996</v>
      </c>
      <c r="W22">
        <v>653.31600000000003</v>
      </c>
      <c r="X22">
        <v>641.35929999999996</v>
      </c>
      <c r="Y22">
        <v>629.51210000000003</v>
      </c>
      <c r="Z22">
        <v>620.27440000000001</v>
      </c>
      <c r="AA22">
        <v>612.66959999999995</v>
      </c>
      <c r="AB22">
        <v>600.76790000000005</v>
      </c>
      <c r="AC22">
        <v>588.08579999999995</v>
      </c>
      <c r="AD22">
        <v>-0.43428020000000001</v>
      </c>
      <c r="AE22">
        <v>-1.6163209999999999</v>
      </c>
      <c r="AF22">
        <v>-2.3359999999999999</v>
      </c>
      <c r="AG22">
        <v>-2.1193080000000002</v>
      </c>
      <c r="AH22">
        <v>-3.9789189999999999</v>
      </c>
      <c r="AI22">
        <v>-3.9584980000000001</v>
      </c>
      <c r="AJ22">
        <v>-2.3861270000000001</v>
      </c>
      <c r="AK22">
        <v>-1.289031</v>
      </c>
      <c r="AL22">
        <v>0.84911550000000002</v>
      </c>
      <c r="AM22">
        <v>1.1810160000000001</v>
      </c>
      <c r="AN22">
        <v>5.61597E-2</v>
      </c>
      <c r="AO22">
        <v>6.2916470000000002</v>
      </c>
      <c r="AP22">
        <v>29.95299</v>
      </c>
      <c r="AQ22">
        <v>28.831340000000001</v>
      </c>
      <c r="AR22">
        <v>23.37424</v>
      </c>
      <c r="AS22">
        <v>27.825679999999998</v>
      </c>
      <c r="AT22">
        <v>30.204190000000001</v>
      </c>
      <c r="AU22">
        <v>22.591619999999999</v>
      </c>
      <c r="AV22">
        <v>16.572399999999998</v>
      </c>
      <c r="AW22">
        <v>20.035229999999999</v>
      </c>
      <c r="AX22">
        <v>15.05416</v>
      </c>
      <c r="AY22">
        <v>13.08587</v>
      </c>
      <c r="AZ22">
        <v>10.599640000000001</v>
      </c>
      <c r="BA22">
        <v>7.3212120000000001</v>
      </c>
      <c r="BB22">
        <v>9.9590300000000007E-2</v>
      </c>
      <c r="BC22">
        <v>-1.169143</v>
      </c>
      <c r="BD22">
        <v>-1.922758</v>
      </c>
      <c r="BE22">
        <v>-1.7569330000000001</v>
      </c>
      <c r="BF22">
        <v>-3.6301489999999998</v>
      </c>
      <c r="BG22">
        <v>-3.5676230000000002</v>
      </c>
      <c r="BH22">
        <v>-2.037223</v>
      </c>
      <c r="BI22">
        <v>-0.86817279999999997</v>
      </c>
      <c r="BJ22">
        <v>1.236737</v>
      </c>
      <c r="BK22">
        <v>1.5836539999999999</v>
      </c>
      <c r="BL22">
        <v>0.50265499999999996</v>
      </c>
      <c r="BM22">
        <v>6.7847949999999999</v>
      </c>
      <c r="BN22">
        <v>30.537459999999999</v>
      </c>
      <c r="BO22">
        <v>29.460550000000001</v>
      </c>
      <c r="BP22">
        <v>24.000800000000002</v>
      </c>
      <c r="BQ22">
        <v>28.49539</v>
      </c>
      <c r="BR22">
        <v>30.899180000000001</v>
      </c>
      <c r="BS22">
        <v>23.404250000000001</v>
      </c>
      <c r="BT22">
        <v>17.44755</v>
      </c>
      <c r="BU22">
        <v>20.855589999999999</v>
      </c>
      <c r="BV22">
        <v>15.835900000000001</v>
      </c>
      <c r="BW22">
        <v>13.82799</v>
      </c>
      <c r="BX22">
        <v>11.283989999999999</v>
      </c>
      <c r="BY22">
        <v>8.0070519999999998</v>
      </c>
      <c r="BZ22">
        <v>0.46934730000000002</v>
      </c>
      <c r="CA22">
        <v>-0.85942890000000005</v>
      </c>
      <c r="CB22">
        <v>-1.636547</v>
      </c>
      <c r="CC22">
        <v>-1.505954</v>
      </c>
      <c r="CD22">
        <v>-3.3885930000000002</v>
      </c>
      <c r="CE22">
        <v>-3.2969040000000001</v>
      </c>
      <c r="CF22">
        <v>-1.7955730000000001</v>
      </c>
      <c r="CG22">
        <v>-0.57668790000000003</v>
      </c>
      <c r="CH22">
        <v>1.5052030000000001</v>
      </c>
      <c r="CI22">
        <v>1.86252</v>
      </c>
      <c r="CJ22">
        <v>0.81189630000000002</v>
      </c>
      <c r="CK22">
        <v>7.1263480000000001</v>
      </c>
      <c r="CL22">
        <v>30.942270000000001</v>
      </c>
      <c r="CM22">
        <v>29.896339999999999</v>
      </c>
      <c r="CN22">
        <v>24.434760000000001</v>
      </c>
      <c r="CO22">
        <v>28.959230000000002</v>
      </c>
      <c r="CP22">
        <v>31.38054</v>
      </c>
      <c r="CQ22">
        <v>23.967079999999999</v>
      </c>
      <c r="CR22">
        <v>18.05367</v>
      </c>
      <c r="CS22">
        <v>21.423760000000001</v>
      </c>
      <c r="CT22">
        <v>16.377330000000001</v>
      </c>
      <c r="CU22">
        <v>14.341989999999999</v>
      </c>
      <c r="CV22">
        <v>11.75797</v>
      </c>
      <c r="CW22">
        <v>8.4820639999999994</v>
      </c>
      <c r="CX22">
        <v>0.83910439999999997</v>
      </c>
      <c r="CY22">
        <v>-0.54971490000000001</v>
      </c>
      <c r="CZ22">
        <v>-1.3503369999999999</v>
      </c>
      <c r="DA22">
        <v>-1.254974</v>
      </c>
      <c r="DB22">
        <v>-3.1470370000000001</v>
      </c>
      <c r="DC22">
        <v>-3.026186</v>
      </c>
      <c r="DD22">
        <v>-1.5539229999999999</v>
      </c>
      <c r="DE22">
        <v>-0.28520309999999999</v>
      </c>
      <c r="DF22">
        <v>1.773668</v>
      </c>
      <c r="DG22">
        <v>2.1413859999999998</v>
      </c>
      <c r="DH22">
        <v>1.1211370000000001</v>
      </c>
      <c r="DI22">
        <v>7.4679010000000003</v>
      </c>
      <c r="DJ22">
        <v>31.347079999999998</v>
      </c>
      <c r="DK22">
        <v>30.332129999999999</v>
      </c>
      <c r="DL22">
        <v>24.86872</v>
      </c>
      <c r="DM22">
        <v>29.423069999999999</v>
      </c>
      <c r="DN22">
        <v>31.861889999999999</v>
      </c>
      <c r="DO22">
        <v>24.529910000000001</v>
      </c>
      <c r="DP22">
        <v>18.659790000000001</v>
      </c>
      <c r="DQ22">
        <v>21.99193</v>
      </c>
      <c r="DR22">
        <v>16.918759999999999</v>
      </c>
      <c r="DS22">
        <v>14.855980000000001</v>
      </c>
      <c r="DT22">
        <v>12.231949999999999</v>
      </c>
      <c r="DU22">
        <v>8.9570760000000007</v>
      </c>
      <c r="DV22">
        <v>1.3729750000000001</v>
      </c>
      <c r="DW22">
        <v>-0.1025369</v>
      </c>
      <c r="DX22">
        <v>-0.93709430000000005</v>
      </c>
      <c r="DY22">
        <v>-0.89259980000000005</v>
      </c>
      <c r="DZ22">
        <v>-2.7982670000000001</v>
      </c>
      <c r="EA22">
        <v>-2.6353110000000002</v>
      </c>
      <c r="EB22">
        <v>-1.2050190000000001</v>
      </c>
      <c r="EC22">
        <v>0.13565469999999999</v>
      </c>
      <c r="ED22">
        <v>2.1612900000000002</v>
      </c>
      <c r="EE22">
        <v>2.5440239999999998</v>
      </c>
      <c r="EF22">
        <v>1.5676330000000001</v>
      </c>
      <c r="EG22">
        <v>7.961049</v>
      </c>
      <c r="EH22">
        <v>31.931560000000001</v>
      </c>
      <c r="EI22">
        <v>30.96134</v>
      </c>
      <c r="EJ22">
        <v>25.495280000000001</v>
      </c>
      <c r="EK22">
        <v>30.092790000000001</v>
      </c>
      <c r="EL22">
        <v>32.55688</v>
      </c>
      <c r="EM22">
        <v>25.34254</v>
      </c>
      <c r="EN22">
        <v>19.534929999999999</v>
      </c>
      <c r="EO22">
        <v>22.812280000000001</v>
      </c>
      <c r="EP22">
        <v>17.700510000000001</v>
      </c>
      <c r="EQ22">
        <v>15.598100000000001</v>
      </c>
      <c r="ER22">
        <v>12.9163</v>
      </c>
      <c r="ES22">
        <v>9.6429170000000006</v>
      </c>
      <c r="ET22">
        <v>69.652640000000005</v>
      </c>
      <c r="EU22">
        <v>68.817920000000001</v>
      </c>
      <c r="EV22">
        <v>67.880319999999998</v>
      </c>
      <c r="EW22">
        <v>66.811869999999999</v>
      </c>
      <c r="EX22">
        <v>66.479219999999998</v>
      </c>
      <c r="EY22">
        <v>65.91377</v>
      </c>
      <c r="EZ22">
        <v>65.676990000000004</v>
      </c>
      <c r="FA22">
        <v>66.770679999999999</v>
      </c>
      <c r="FB22">
        <v>68.643410000000003</v>
      </c>
      <c r="FC22">
        <v>71.394009999999994</v>
      </c>
      <c r="FD22">
        <v>74.475849999999994</v>
      </c>
      <c r="FE22">
        <v>77.866759999999999</v>
      </c>
      <c r="FF22">
        <v>81.248239999999996</v>
      </c>
      <c r="FG22">
        <v>83.92877</v>
      </c>
      <c r="FH22">
        <v>85.380809999999997</v>
      </c>
      <c r="FI22">
        <v>86.923599999999993</v>
      </c>
      <c r="FJ22">
        <v>87.603740000000002</v>
      </c>
      <c r="FK22">
        <v>87.128060000000005</v>
      </c>
      <c r="FL22">
        <v>85.438760000000002</v>
      </c>
      <c r="FM22">
        <v>82.392169999999993</v>
      </c>
      <c r="FN22">
        <v>78.923000000000002</v>
      </c>
      <c r="FO22">
        <v>76.151859999999999</v>
      </c>
      <c r="FP22">
        <v>74.025739999999999</v>
      </c>
      <c r="FQ22">
        <v>72.428719999999998</v>
      </c>
      <c r="FR22">
        <v>1</v>
      </c>
      <c r="FT22" s="44"/>
    </row>
    <row r="23" spans="1:176" x14ac:dyDescent="0.2">
      <c r="A23" t="s">
        <v>1</v>
      </c>
      <c r="B23" t="s">
        <v>204</v>
      </c>
      <c r="C23" s="70">
        <v>41852</v>
      </c>
      <c r="D23">
        <v>0</v>
      </c>
      <c r="E23" s="70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T23" s="44"/>
    </row>
    <row r="24" spans="1:176" x14ac:dyDescent="0.2">
      <c r="A24" t="s">
        <v>1</v>
      </c>
      <c r="B24" t="s">
        <v>204</v>
      </c>
      <c r="C24" s="70">
        <v>41894</v>
      </c>
      <c r="D24">
        <v>0</v>
      </c>
      <c r="E24" s="70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T24" s="44"/>
    </row>
    <row r="25" spans="1:176" x14ac:dyDescent="0.2">
      <c r="A25" t="s">
        <v>1</v>
      </c>
      <c r="B25" t="s">
        <v>204</v>
      </c>
      <c r="C25" s="70">
        <v>41897</v>
      </c>
      <c r="D25">
        <v>0</v>
      </c>
      <c r="E25" s="70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T25" s="44"/>
    </row>
    <row r="26" spans="1:176" x14ac:dyDescent="0.2">
      <c r="A26" t="s">
        <v>1</v>
      </c>
      <c r="B26" t="s">
        <v>204</v>
      </c>
      <c r="C26" s="70">
        <v>41898</v>
      </c>
      <c r="D26">
        <v>54</v>
      </c>
      <c r="E26" s="70">
        <v>639</v>
      </c>
      <c r="F26">
        <v>531.52480000000003</v>
      </c>
      <c r="G26">
        <v>525.30769999999995</v>
      </c>
      <c r="H26">
        <v>515.92010000000005</v>
      </c>
      <c r="I26">
        <v>515.04359999999997</v>
      </c>
      <c r="J26">
        <v>521.35059999999999</v>
      </c>
      <c r="K26">
        <v>532.77700000000004</v>
      </c>
      <c r="L26">
        <v>563.88589999999999</v>
      </c>
      <c r="M26">
        <v>576.9674</v>
      </c>
      <c r="N26">
        <v>596.61130000000003</v>
      </c>
      <c r="O26">
        <v>618.89890000000003</v>
      </c>
      <c r="P26">
        <v>617.62660000000005</v>
      </c>
      <c r="Q26">
        <v>628.00030000000004</v>
      </c>
      <c r="R26">
        <v>626.14800000000002</v>
      </c>
      <c r="S26">
        <v>633.35739999999998</v>
      </c>
      <c r="T26">
        <v>634.9479</v>
      </c>
      <c r="U26">
        <v>625.9873</v>
      </c>
      <c r="V26">
        <v>618.79729999999995</v>
      </c>
      <c r="W26">
        <v>608.14499999999998</v>
      </c>
      <c r="X26">
        <v>596.57839999999999</v>
      </c>
      <c r="Y26">
        <v>590.51819999999998</v>
      </c>
      <c r="Z26">
        <v>582.58150000000001</v>
      </c>
      <c r="AA26">
        <v>571.57770000000005</v>
      </c>
      <c r="AB26">
        <v>561.6087</v>
      </c>
      <c r="AC26">
        <v>548.64160000000004</v>
      </c>
      <c r="AD26">
        <v>-1.3359589999999999</v>
      </c>
      <c r="AE26">
        <v>0.16115479999999999</v>
      </c>
      <c r="AF26">
        <v>1.158393</v>
      </c>
      <c r="AG26">
        <v>0.9015476</v>
      </c>
      <c r="AH26">
        <v>-1.9520459999999999</v>
      </c>
      <c r="AI26">
        <v>-1.5968739999999999</v>
      </c>
      <c r="AJ26">
        <v>-1.139669</v>
      </c>
      <c r="AK26">
        <v>0.57557539999999996</v>
      </c>
      <c r="AL26">
        <v>10.80219</v>
      </c>
      <c r="AM26">
        <v>16.12407</v>
      </c>
      <c r="AN26">
        <v>16.064609999999998</v>
      </c>
      <c r="AO26">
        <v>19.169029999999999</v>
      </c>
      <c r="AP26">
        <v>26.12782</v>
      </c>
      <c r="AQ26">
        <v>26.979559999999999</v>
      </c>
      <c r="AR26">
        <v>29.22512</v>
      </c>
      <c r="AS26">
        <v>29.99738</v>
      </c>
      <c r="AT26">
        <v>30.090389999999999</v>
      </c>
      <c r="AU26">
        <v>26.786370000000002</v>
      </c>
      <c r="AV26">
        <v>22.128979999999999</v>
      </c>
      <c r="AW26">
        <v>17.103480000000001</v>
      </c>
      <c r="AX26">
        <v>7.7486769999999998</v>
      </c>
      <c r="AY26">
        <v>6.0055969999999999</v>
      </c>
      <c r="AZ26">
        <v>1.9905029999999999</v>
      </c>
      <c r="BA26">
        <v>2.7910240000000002</v>
      </c>
      <c r="BB26">
        <v>-0.76585040000000004</v>
      </c>
      <c r="BC26">
        <v>0.78744380000000003</v>
      </c>
      <c r="BD26">
        <v>1.618687</v>
      </c>
      <c r="BE26">
        <v>1.2080379999999999</v>
      </c>
      <c r="BF26">
        <v>-1.287795</v>
      </c>
      <c r="BG26">
        <v>-0.88731919999999997</v>
      </c>
      <c r="BH26">
        <v>-0.41312379999999999</v>
      </c>
      <c r="BI26">
        <v>1.1081589999999999</v>
      </c>
      <c r="BJ26">
        <v>11.34371</v>
      </c>
      <c r="BK26">
        <v>16.69501</v>
      </c>
      <c r="BL26">
        <v>16.664149999999999</v>
      </c>
      <c r="BM26">
        <v>19.700369999999999</v>
      </c>
      <c r="BN26">
        <v>26.619319999999998</v>
      </c>
      <c r="BO26">
        <v>27.408629999999999</v>
      </c>
      <c r="BP26">
        <v>29.609649999999998</v>
      </c>
      <c r="BQ26">
        <v>30.394970000000001</v>
      </c>
      <c r="BR26">
        <v>30.507020000000001</v>
      </c>
      <c r="BS26">
        <v>27.20168</v>
      </c>
      <c r="BT26">
        <v>22.581060000000001</v>
      </c>
      <c r="BU26">
        <v>17.598210000000002</v>
      </c>
      <c r="BV26">
        <v>8.2626360000000005</v>
      </c>
      <c r="BW26">
        <v>6.4804500000000003</v>
      </c>
      <c r="BX26">
        <v>2.442672</v>
      </c>
      <c r="BY26">
        <v>3.2033369999999999</v>
      </c>
      <c r="BZ26">
        <v>-0.37099520000000002</v>
      </c>
      <c r="CA26">
        <v>1.2212099999999999</v>
      </c>
      <c r="CB26">
        <v>1.9374849999999999</v>
      </c>
      <c r="CC26">
        <v>1.420312</v>
      </c>
      <c r="CD26">
        <v>-0.82773779999999997</v>
      </c>
      <c r="CE26">
        <v>-0.3958834</v>
      </c>
      <c r="CF26">
        <v>9.0078900000000003E-2</v>
      </c>
      <c r="CG26">
        <v>1.477025</v>
      </c>
      <c r="CH26">
        <v>11.718769999999999</v>
      </c>
      <c r="CI26">
        <v>17.090440000000001</v>
      </c>
      <c r="CJ26">
        <v>17.0794</v>
      </c>
      <c r="CK26">
        <v>20.068370000000002</v>
      </c>
      <c r="CL26">
        <v>26.95973</v>
      </c>
      <c r="CM26">
        <v>27.7058</v>
      </c>
      <c r="CN26">
        <v>29.875969999999999</v>
      </c>
      <c r="CO26">
        <v>30.670349999999999</v>
      </c>
      <c r="CP26">
        <v>30.795590000000001</v>
      </c>
      <c r="CQ26">
        <v>27.489329999999999</v>
      </c>
      <c r="CR26">
        <v>22.894169999999999</v>
      </c>
      <c r="CS26">
        <v>17.940860000000001</v>
      </c>
      <c r="CT26">
        <v>8.6186030000000002</v>
      </c>
      <c r="CU26">
        <v>6.8093320000000004</v>
      </c>
      <c r="CV26">
        <v>2.7558419999999999</v>
      </c>
      <c r="CW26">
        <v>3.4889039999999998</v>
      </c>
      <c r="CX26">
        <v>2.3860099999999999E-2</v>
      </c>
      <c r="CY26">
        <v>1.6549750000000001</v>
      </c>
      <c r="CZ26">
        <v>2.256284</v>
      </c>
      <c r="DA26">
        <v>1.6325860000000001</v>
      </c>
      <c r="DB26">
        <v>-0.36768020000000001</v>
      </c>
      <c r="DC26">
        <v>9.5552399999999996E-2</v>
      </c>
      <c r="DD26">
        <v>0.59328159999999996</v>
      </c>
      <c r="DE26">
        <v>1.8458909999999999</v>
      </c>
      <c r="DF26">
        <v>12.093830000000001</v>
      </c>
      <c r="DG26">
        <v>17.485869999999998</v>
      </c>
      <c r="DH26">
        <v>17.49464</v>
      </c>
      <c r="DI26">
        <v>20.43638</v>
      </c>
      <c r="DJ26">
        <v>27.300149999999999</v>
      </c>
      <c r="DK26">
        <v>28.002970000000001</v>
      </c>
      <c r="DL26">
        <v>30.142299999999999</v>
      </c>
      <c r="DM26">
        <v>30.945720000000001</v>
      </c>
      <c r="DN26">
        <v>31.084150000000001</v>
      </c>
      <c r="DO26">
        <v>27.776969999999999</v>
      </c>
      <c r="DP26">
        <v>23.207280000000001</v>
      </c>
      <c r="DQ26">
        <v>18.28351</v>
      </c>
      <c r="DR26">
        <v>8.9745690000000007</v>
      </c>
      <c r="DS26">
        <v>7.1382139999999996</v>
      </c>
      <c r="DT26">
        <v>3.069013</v>
      </c>
      <c r="DU26">
        <v>3.7744710000000001</v>
      </c>
      <c r="DV26">
        <v>0.59396850000000001</v>
      </c>
      <c r="DW26">
        <v>2.2812640000000002</v>
      </c>
      <c r="DX26">
        <v>2.7165780000000002</v>
      </c>
      <c r="DY26">
        <v>1.9390769999999999</v>
      </c>
      <c r="DZ26">
        <v>0.29657</v>
      </c>
      <c r="EA26">
        <v>0.80510769999999998</v>
      </c>
      <c r="EB26">
        <v>1.3198259999999999</v>
      </c>
      <c r="EC26">
        <v>2.3784749999999999</v>
      </c>
      <c r="ED26">
        <v>12.63536</v>
      </c>
      <c r="EE26">
        <v>18.056809999999999</v>
      </c>
      <c r="EF26">
        <v>18.094180000000001</v>
      </c>
      <c r="EG26">
        <v>20.96771</v>
      </c>
      <c r="EH26">
        <v>27.791650000000001</v>
      </c>
      <c r="EI26">
        <v>28.432030000000001</v>
      </c>
      <c r="EJ26">
        <v>30.52683</v>
      </c>
      <c r="EK26">
        <v>31.343319999999999</v>
      </c>
      <c r="EL26">
        <v>31.500779999999999</v>
      </c>
      <c r="EM26">
        <v>28.19228</v>
      </c>
      <c r="EN26">
        <v>23.65936</v>
      </c>
      <c r="EO26">
        <v>18.77824</v>
      </c>
      <c r="EP26">
        <v>9.4885280000000005</v>
      </c>
      <c r="EQ26">
        <v>7.613067</v>
      </c>
      <c r="ER26">
        <v>3.5211809999999999</v>
      </c>
      <c r="ES26">
        <v>4.1867840000000003</v>
      </c>
      <c r="ET26">
        <v>67.330179999999999</v>
      </c>
      <c r="EU26">
        <v>66.170410000000004</v>
      </c>
      <c r="EV26">
        <v>64.873729999999995</v>
      </c>
      <c r="EW26">
        <v>63.763689999999997</v>
      </c>
      <c r="EX26">
        <v>62.84478</v>
      </c>
      <c r="EY26">
        <v>62.055169999999997</v>
      </c>
      <c r="EZ26">
        <v>61.207439999999998</v>
      </c>
      <c r="FA26">
        <v>61.697620000000001</v>
      </c>
      <c r="FB26">
        <v>65.231430000000003</v>
      </c>
      <c r="FC26">
        <v>68.738230000000001</v>
      </c>
      <c r="FD26">
        <v>72.216170000000005</v>
      </c>
      <c r="FE26">
        <v>75.564390000000003</v>
      </c>
      <c r="FF26">
        <v>78.272499999999994</v>
      </c>
      <c r="FG26">
        <v>81.269689999999997</v>
      </c>
      <c r="FH26">
        <v>83.153679999999994</v>
      </c>
      <c r="FI26">
        <v>83.652180000000001</v>
      </c>
      <c r="FJ26">
        <v>83.499650000000003</v>
      </c>
      <c r="FK26">
        <v>82.212549999999993</v>
      </c>
      <c r="FL26">
        <v>79.159869999999998</v>
      </c>
      <c r="FM26">
        <v>75.823790000000002</v>
      </c>
      <c r="FN26">
        <v>73.205200000000005</v>
      </c>
      <c r="FO26">
        <v>71.133420000000001</v>
      </c>
      <c r="FP26">
        <v>69.653589999999994</v>
      </c>
      <c r="FQ26">
        <v>68.690730000000002</v>
      </c>
      <c r="FR26">
        <v>1</v>
      </c>
      <c r="FT26" s="44"/>
    </row>
    <row r="27" spans="1:176" x14ac:dyDescent="0.2">
      <c r="A27" t="s">
        <v>1</v>
      </c>
      <c r="B27" t="s">
        <v>204</v>
      </c>
      <c r="C27" s="70" t="s">
        <v>2</v>
      </c>
      <c r="D27">
        <v>70.888890000000004</v>
      </c>
      <c r="E27" s="70">
        <v>664.44399999999996</v>
      </c>
      <c r="F27">
        <v>534.79769999999996</v>
      </c>
      <c r="G27">
        <v>528.36099999999999</v>
      </c>
      <c r="H27">
        <v>523.16549999999995</v>
      </c>
      <c r="I27">
        <v>523.52710000000002</v>
      </c>
      <c r="J27">
        <v>532.25149999999996</v>
      </c>
      <c r="K27">
        <v>552.76570000000004</v>
      </c>
      <c r="L27">
        <v>582.65269999999998</v>
      </c>
      <c r="M27">
        <v>602.52290000000005</v>
      </c>
      <c r="N27">
        <v>620.90329999999994</v>
      </c>
      <c r="O27">
        <v>638.27700000000004</v>
      </c>
      <c r="P27">
        <v>647.18190000000004</v>
      </c>
      <c r="Q27">
        <v>656.60379999999998</v>
      </c>
      <c r="R27">
        <v>654.58540000000005</v>
      </c>
      <c r="S27">
        <v>660.33439999999996</v>
      </c>
      <c r="T27">
        <v>659.3691</v>
      </c>
      <c r="U27">
        <v>646.85709999999995</v>
      </c>
      <c r="V27">
        <v>638.89639999999997</v>
      </c>
      <c r="W27">
        <v>625.21339999999998</v>
      </c>
      <c r="X27">
        <v>614.14530000000002</v>
      </c>
      <c r="Y27">
        <v>606.28890000000001</v>
      </c>
      <c r="Z27">
        <v>601.33029999999997</v>
      </c>
      <c r="AA27">
        <v>593.14440000000002</v>
      </c>
      <c r="AB27">
        <v>580.75160000000005</v>
      </c>
      <c r="AC27">
        <v>567.9683</v>
      </c>
      <c r="AD27">
        <v>0.22142300000000001</v>
      </c>
      <c r="AE27">
        <v>-1.036902</v>
      </c>
      <c r="AF27">
        <v>-0.98353429999999997</v>
      </c>
      <c r="AG27">
        <v>-0.85555110000000001</v>
      </c>
      <c r="AH27">
        <v>-1.866263</v>
      </c>
      <c r="AI27">
        <v>-2.2163460000000001</v>
      </c>
      <c r="AJ27">
        <v>-1.749819</v>
      </c>
      <c r="AK27">
        <v>-0.91352820000000001</v>
      </c>
      <c r="AL27">
        <v>1.620039</v>
      </c>
      <c r="AM27">
        <v>2.0462739999999999</v>
      </c>
      <c r="AN27">
        <v>2.7321780000000002</v>
      </c>
      <c r="AO27">
        <v>8.2959329999999998</v>
      </c>
      <c r="AP27">
        <v>26.861650000000001</v>
      </c>
      <c r="AQ27">
        <v>27.150480000000002</v>
      </c>
      <c r="AR27">
        <v>24.863779999999998</v>
      </c>
      <c r="AS27">
        <v>25.02608</v>
      </c>
      <c r="AT27">
        <v>24.718810000000001</v>
      </c>
      <c r="AU27">
        <v>22.703769999999999</v>
      </c>
      <c r="AV27">
        <v>20.036930000000002</v>
      </c>
      <c r="AW27">
        <v>18.270430000000001</v>
      </c>
      <c r="AX27">
        <v>10.44281</v>
      </c>
      <c r="AY27">
        <v>5.0267350000000004</v>
      </c>
      <c r="AZ27">
        <v>3.6949830000000001</v>
      </c>
      <c r="BA27">
        <v>4.0636619999999999</v>
      </c>
      <c r="BB27">
        <v>0.85060469999999999</v>
      </c>
      <c r="BC27">
        <v>-0.51285139999999996</v>
      </c>
      <c r="BD27">
        <v>-0.55229629999999996</v>
      </c>
      <c r="BE27">
        <v>-0.45461370000000001</v>
      </c>
      <c r="BF27">
        <v>-1.452305</v>
      </c>
      <c r="BG27">
        <v>-1.7628779999999999</v>
      </c>
      <c r="BH27">
        <v>-1.284872</v>
      </c>
      <c r="BI27">
        <v>-0.42704320000000001</v>
      </c>
      <c r="BJ27">
        <v>2.132565</v>
      </c>
      <c r="BK27">
        <v>2.5667870000000002</v>
      </c>
      <c r="BL27">
        <v>3.3005149999999999</v>
      </c>
      <c r="BM27">
        <v>8.9020729999999997</v>
      </c>
      <c r="BN27">
        <v>27.560089999999999</v>
      </c>
      <c r="BO27">
        <v>27.87987</v>
      </c>
      <c r="BP27">
        <v>25.590900000000001</v>
      </c>
      <c r="BQ27">
        <v>25.754670000000001</v>
      </c>
      <c r="BR27">
        <v>25.461480000000002</v>
      </c>
      <c r="BS27">
        <v>23.540679999999998</v>
      </c>
      <c r="BT27">
        <v>20.88504</v>
      </c>
      <c r="BU27">
        <v>19.09967</v>
      </c>
      <c r="BV27">
        <v>11.28271</v>
      </c>
      <c r="BW27">
        <v>5.8791580000000003</v>
      </c>
      <c r="BX27">
        <v>4.5611139999999999</v>
      </c>
      <c r="BY27">
        <v>4.9248779999999996</v>
      </c>
      <c r="BZ27">
        <v>1.2863739999999999</v>
      </c>
      <c r="CA27">
        <v>-0.14989549999999999</v>
      </c>
      <c r="CB27">
        <v>-0.25362210000000002</v>
      </c>
      <c r="CC27">
        <v>-0.17692569999999999</v>
      </c>
      <c r="CD27">
        <v>-1.1656</v>
      </c>
      <c r="CE27">
        <v>-1.448807</v>
      </c>
      <c r="CF27">
        <v>-0.96285050000000005</v>
      </c>
      <c r="CG27">
        <v>-9.0105099999999994E-2</v>
      </c>
      <c r="CH27">
        <v>2.4875400000000001</v>
      </c>
      <c r="CI27">
        <v>2.927292</v>
      </c>
      <c r="CJ27">
        <v>3.6941440000000001</v>
      </c>
      <c r="CK27">
        <v>9.3218829999999997</v>
      </c>
      <c r="CL27">
        <v>28.04382</v>
      </c>
      <c r="CM27">
        <v>28.38504</v>
      </c>
      <c r="CN27">
        <v>26.0945</v>
      </c>
      <c r="CO27">
        <v>26.25928</v>
      </c>
      <c r="CP27">
        <v>25.975850000000001</v>
      </c>
      <c r="CQ27">
        <v>24.12032</v>
      </c>
      <c r="CR27">
        <v>21.472449999999998</v>
      </c>
      <c r="CS27">
        <v>19.674009999999999</v>
      </c>
      <c r="CT27">
        <v>11.86443</v>
      </c>
      <c r="CU27">
        <v>6.4695450000000001</v>
      </c>
      <c r="CV27">
        <v>5.1609939999999996</v>
      </c>
      <c r="CW27">
        <v>5.5213530000000004</v>
      </c>
      <c r="CX27">
        <v>1.722143</v>
      </c>
      <c r="CY27">
        <v>0.21306030000000001</v>
      </c>
      <c r="CZ27">
        <v>4.5052099999999998E-2</v>
      </c>
      <c r="DA27">
        <v>0.1007623</v>
      </c>
      <c r="DB27">
        <v>-0.87889439999999996</v>
      </c>
      <c r="DC27">
        <v>-1.1347370000000001</v>
      </c>
      <c r="DD27">
        <v>-0.64082939999999999</v>
      </c>
      <c r="DE27">
        <v>0.24683289999999999</v>
      </c>
      <c r="DF27">
        <v>2.842514</v>
      </c>
      <c r="DG27">
        <v>3.2877969999999999</v>
      </c>
      <c r="DH27">
        <v>4.0877720000000002</v>
      </c>
      <c r="DI27">
        <v>9.7416929999999997</v>
      </c>
      <c r="DJ27">
        <v>28.527550000000002</v>
      </c>
      <c r="DK27">
        <v>28.89021</v>
      </c>
      <c r="DL27">
        <v>26.598089999999999</v>
      </c>
      <c r="DM27">
        <v>26.7639</v>
      </c>
      <c r="DN27">
        <v>26.490220000000001</v>
      </c>
      <c r="DO27">
        <v>24.699960000000001</v>
      </c>
      <c r="DP27">
        <v>22.059850000000001</v>
      </c>
      <c r="DQ27">
        <v>20.248339999999999</v>
      </c>
      <c r="DR27">
        <v>12.44614</v>
      </c>
      <c r="DS27">
        <v>7.0599309999999997</v>
      </c>
      <c r="DT27">
        <v>5.7608740000000003</v>
      </c>
      <c r="DU27">
        <v>6.1178290000000004</v>
      </c>
      <c r="DV27">
        <v>2.3513250000000001</v>
      </c>
      <c r="DW27">
        <v>0.73711090000000001</v>
      </c>
      <c r="DX27">
        <v>0.4762902</v>
      </c>
      <c r="DY27">
        <v>0.50169960000000002</v>
      </c>
      <c r="DZ27">
        <v>-0.4649373</v>
      </c>
      <c r="EA27">
        <v>-0.68126869999999995</v>
      </c>
      <c r="EB27">
        <v>-0.17588210000000001</v>
      </c>
      <c r="EC27">
        <v>0.73331789999999997</v>
      </c>
      <c r="ED27">
        <v>3.3550399999999998</v>
      </c>
      <c r="EE27">
        <v>3.8083100000000001</v>
      </c>
      <c r="EF27">
        <v>4.65611</v>
      </c>
      <c r="EG27">
        <v>10.34783</v>
      </c>
      <c r="EH27">
        <v>29.22598</v>
      </c>
      <c r="EI27">
        <v>29.619599999999998</v>
      </c>
      <c r="EJ27">
        <v>27.325209999999998</v>
      </c>
      <c r="EK27">
        <v>27.49248</v>
      </c>
      <c r="EL27">
        <v>27.232900000000001</v>
      </c>
      <c r="EM27">
        <v>25.53687</v>
      </c>
      <c r="EN27">
        <v>22.907969999999999</v>
      </c>
      <c r="EO27">
        <v>21.077590000000001</v>
      </c>
      <c r="EP27">
        <v>13.28604</v>
      </c>
      <c r="EQ27">
        <v>7.9123549999999998</v>
      </c>
      <c r="ER27">
        <v>6.6270049999999996</v>
      </c>
      <c r="ES27">
        <v>6.979044</v>
      </c>
      <c r="ET27">
        <v>69.566059999999993</v>
      </c>
      <c r="EU27">
        <v>68.428809999999999</v>
      </c>
      <c r="EV27">
        <v>67.460459999999998</v>
      </c>
      <c r="EW27">
        <v>66.526120000000006</v>
      </c>
      <c r="EX27">
        <v>65.743579999999994</v>
      </c>
      <c r="EY27">
        <v>65.107820000000004</v>
      </c>
      <c r="EZ27">
        <v>64.77216</v>
      </c>
      <c r="FA27">
        <v>66.031180000000006</v>
      </c>
      <c r="FB27">
        <v>68.675110000000004</v>
      </c>
      <c r="FC27">
        <v>72.058030000000002</v>
      </c>
      <c r="FD27">
        <v>75.583879999999994</v>
      </c>
      <c r="FE27">
        <v>78.799930000000003</v>
      </c>
      <c r="FF27">
        <v>81.548519999999996</v>
      </c>
      <c r="FG27">
        <v>83.831209999999999</v>
      </c>
      <c r="FH27">
        <v>85.150040000000004</v>
      </c>
      <c r="FI27">
        <v>85.762500000000003</v>
      </c>
      <c r="FJ27">
        <v>85.814689999999999</v>
      </c>
      <c r="FK27">
        <v>85.197010000000006</v>
      </c>
      <c r="FL27">
        <v>83.147639999999996</v>
      </c>
      <c r="FM27">
        <v>80.117220000000003</v>
      </c>
      <c r="FN27">
        <v>76.845209999999994</v>
      </c>
      <c r="FO27">
        <v>74.232849999999999</v>
      </c>
      <c r="FP27">
        <v>72.384609999999995</v>
      </c>
      <c r="FQ27">
        <v>70.876050000000006</v>
      </c>
      <c r="FR27">
        <v>1</v>
      </c>
      <c r="FT27" s="44"/>
    </row>
    <row r="28" spans="1:176" x14ac:dyDescent="0.2">
      <c r="A28" t="s">
        <v>1</v>
      </c>
      <c r="B28" t="s">
        <v>1</v>
      </c>
      <c r="C28" s="70">
        <v>41773</v>
      </c>
      <c r="D28">
        <v>13</v>
      </c>
      <c r="E28" s="70">
        <v>830</v>
      </c>
      <c r="F28">
        <v>126.37009999999999</v>
      </c>
      <c r="G28">
        <v>122.3359</v>
      </c>
      <c r="H28">
        <v>120.26</v>
      </c>
      <c r="I28">
        <v>119.8951</v>
      </c>
      <c r="J28">
        <v>121.0549</v>
      </c>
      <c r="K28">
        <v>124.98009999999999</v>
      </c>
      <c r="L28">
        <v>132.59780000000001</v>
      </c>
      <c r="M28">
        <v>141.4648</v>
      </c>
      <c r="N28">
        <v>150.1215</v>
      </c>
      <c r="O28">
        <v>157.55240000000001</v>
      </c>
      <c r="P28">
        <v>165.37989999999999</v>
      </c>
      <c r="Q28">
        <v>170.5086</v>
      </c>
      <c r="R28">
        <v>173.74879999999999</v>
      </c>
      <c r="S28">
        <v>174.87200000000001</v>
      </c>
      <c r="T28">
        <v>176.46729999999999</v>
      </c>
      <c r="U28">
        <v>173.9913</v>
      </c>
      <c r="V28">
        <v>171.75149999999999</v>
      </c>
      <c r="W28">
        <v>166.136</v>
      </c>
      <c r="X28">
        <v>159.12540000000001</v>
      </c>
      <c r="Y28">
        <v>152.51300000000001</v>
      </c>
      <c r="Z28">
        <v>149.12889999999999</v>
      </c>
      <c r="AA28">
        <v>144.48670000000001</v>
      </c>
      <c r="AB28">
        <v>139.3579</v>
      </c>
      <c r="AC28">
        <v>134.53970000000001</v>
      </c>
      <c r="AD28">
        <v>0.28953240000000002</v>
      </c>
      <c r="AE28">
        <v>-6.5629E-3</v>
      </c>
      <c r="AF28">
        <v>-0.1805438</v>
      </c>
      <c r="AG28">
        <v>2.73044E-2</v>
      </c>
      <c r="AH28">
        <v>4.3722499999999997E-2</v>
      </c>
      <c r="AI28">
        <v>-0.40644219999999998</v>
      </c>
      <c r="AJ28">
        <v>9.12129E-2</v>
      </c>
      <c r="AK28">
        <v>5.3846999999999999E-2</v>
      </c>
      <c r="AL28">
        <v>-2.9102099999999999E-2</v>
      </c>
      <c r="AM28">
        <v>-6.5232100000000001E-2</v>
      </c>
      <c r="AN28">
        <v>8.8139200000000001E-2</v>
      </c>
      <c r="AO28">
        <v>1.8825959999999999</v>
      </c>
      <c r="AP28">
        <v>7.3243140000000002</v>
      </c>
      <c r="AQ28">
        <v>6.2310439999999998</v>
      </c>
      <c r="AR28">
        <v>5.8323309999999999</v>
      </c>
      <c r="AS28">
        <v>5.8169440000000003</v>
      </c>
      <c r="AT28">
        <v>4.1085180000000001</v>
      </c>
      <c r="AU28">
        <v>3.4542760000000001</v>
      </c>
      <c r="AV28">
        <v>3.414768</v>
      </c>
      <c r="AW28">
        <v>3.5042710000000001</v>
      </c>
      <c r="AX28">
        <v>2.032359</v>
      </c>
      <c r="AY28">
        <v>0.52847659999999996</v>
      </c>
      <c r="AZ28">
        <v>1.0947340000000001</v>
      </c>
      <c r="BA28">
        <v>0.93978110000000004</v>
      </c>
      <c r="BB28">
        <v>0.37176799999999999</v>
      </c>
      <c r="BC28">
        <v>5.8318300000000003E-2</v>
      </c>
      <c r="BD28">
        <v>-0.1155587</v>
      </c>
      <c r="BE28">
        <v>9.3917E-2</v>
      </c>
      <c r="BF28">
        <v>0.1105308</v>
      </c>
      <c r="BG28">
        <v>-0.27253539999999998</v>
      </c>
      <c r="BH28">
        <v>0.1436752</v>
      </c>
      <c r="BI28">
        <v>0.1357332</v>
      </c>
      <c r="BJ28">
        <v>0.1150048</v>
      </c>
      <c r="BK28">
        <v>6.8419499999999994E-2</v>
      </c>
      <c r="BL28">
        <v>0.22136130000000001</v>
      </c>
      <c r="BM28">
        <v>2.0316839999999998</v>
      </c>
      <c r="BN28">
        <v>7.4654020000000001</v>
      </c>
      <c r="BO28">
        <v>6.367915</v>
      </c>
      <c r="BP28">
        <v>5.9831110000000001</v>
      </c>
      <c r="BQ28">
        <v>5.9938289999999999</v>
      </c>
      <c r="BR28">
        <v>4.3277809999999999</v>
      </c>
      <c r="BS28">
        <v>3.736424</v>
      </c>
      <c r="BT28">
        <v>3.7138789999999999</v>
      </c>
      <c r="BU28">
        <v>3.8263790000000002</v>
      </c>
      <c r="BV28">
        <v>2.3435380000000001</v>
      </c>
      <c r="BW28">
        <v>0.84098980000000001</v>
      </c>
      <c r="BX28">
        <v>1.4126240000000001</v>
      </c>
      <c r="BY28">
        <v>1.2362420000000001</v>
      </c>
      <c r="BZ28">
        <v>0.4287241</v>
      </c>
      <c r="CA28">
        <v>0.10325479999999999</v>
      </c>
      <c r="CB28">
        <v>-7.0550299999999996E-2</v>
      </c>
      <c r="CC28">
        <v>0.1400527</v>
      </c>
      <c r="CD28">
        <v>0.156802</v>
      </c>
      <c r="CE28">
        <v>-0.17979200000000001</v>
      </c>
      <c r="CF28">
        <v>0.18001030000000001</v>
      </c>
      <c r="CG28">
        <v>0.19244729999999999</v>
      </c>
      <c r="CH28">
        <v>0.2148127</v>
      </c>
      <c r="CI28">
        <v>0.16098609999999999</v>
      </c>
      <c r="CJ28">
        <v>0.31363049999999998</v>
      </c>
      <c r="CK28">
        <v>2.1349420000000001</v>
      </c>
      <c r="CL28">
        <v>7.5631180000000002</v>
      </c>
      <c r="CM28">
        <v>6.4627109999999997</v>
      </c>
      <c r="CN28">
        <v>6.0875409999999999</v>
      </c>
      <c r="CO28">
        <v>6.116339</v>
      </c>
      <c r="CP28">
        <v>4.4796420000000001</v>
      </c>
      <c r="CQ28">
        <v>3.9318399999999998</v>
      </c>
      <c r="CR28">
        <v>3.9210430000000001</v>
      </c>
      <c r="CS28">
        <v>4.0494700000000003</v>
      </c>
      <c r="CT28">
        <v>2.5590600000000001</v>
      </c>
      <c r="CU28">
        <v>1.057436</v>
      </c>
      <c r="CV28">
        <v>1.6327929999999999</v>
      </c>
      <c r="CW28">
        <v>1.4415690000000001</v>
      </c>
      <c r="CX28">
        <v>0.48568020000000001</v>
      </c>
      <c r="CY28">
        <v>0.1481913</v>
      </c>
      <c r="CZ28">
        <v>-2.55418E-2</v>
      </c>
      <c r="DA28">
        <v>0.1861884</v>
      </c>
      <c r="DB28">
        <v>0.20307320000000001</v>
      </c>
      <c r="DC28">
        <v>-8.7048600000000004E-2</v>
      </c>
      <c r="DD28">
        <v>0.2163455</v>
      </c>
      <c r="DE28">
        <v>0.24916140000000001</v>
      </c>
      <c r="DF28">
        <v>0.31462059999999997</v>
      </c>
      <c r="DG28">
        <v>0.25355280000000002</v>
      </c>
      <c r="DH28">
        <v>0.40589960000000003</v>
      </c>
      <c r="DI28">
        <v>2.2382010000000001</v>
      </c>
      <c r="DJ28">
        <v>7.6608349999999996</v>
      </c>
      <c r="DK28">
        <v>6.5575070000000002</v>
      </c>
      <c r="DL28">
        <v>6.1919709999999997</v>
      </c>
      <c r="DM28">
        <v>6.2388500000000002</v>
      </c>
      <c r="DN28">
        <v>4.6315039999999996</v>
      </c>
      <c r="DO28">
        <v>4.1272549999999999</v>
      </c>
      <c r="DP28">
        <v>4.1282059999999996</v>
      </c>
      <c r="DQ28">
        <v>4.2725609999999996</v>
      </c>
      <c r="DR28">
        <v>2.774581</v>
      </c>
      <c r="DS28">
        <v>1.273881</v>
      </c>
      <c r="DT28">
        <v>1.852962</v>
      </c>
      <c r="DU28">
        <v>1.6468970000000001</v>
      </c>
      <c r="DV28">
        <v>0.56791590000000003</v>
      </c>
      <c r="DW28">
        <v>0.2130725</v>
      </c>
      <c r="DX28">
        <v>3.9443300000000001E-2</v>
      </c>
      <c r="DY28">
        <v>0.252801</v>
      </c>
      <c r="DZ28">
        <v>0.2698815</v>
      </c>
      <c r="EA28">
        <v>4.6858200000000003E-2</v>
      </c>
      <c r="EB28">
        <v>0.26880779999999999</v>
      </c>
      <c r="EC28">
        <v>0.3310476</v>
      </c>
      <c r="ED28">
        <v>0.45872740000000001</v>
      </c>
      <c r="EE28">
        <v>0.3872043</v>
      </c>
      <c r="EF28">
        <v>0.53912170000000004</v>
      </c>
      <c r="EG28">
        <v>2.387289</v>
      </c>
      <c r="EH28">
        <v>7.8019230000000004</v>
      </c>
      <c r="EI28">
        <v>6.6943780000000004</v>
      </c>
      <c r="EJ28">
        <v>6.3427519999999999</v>
      </c>
      <c r="EK28">
        <v>6.4157349999999997</v>
      </c>
      <c r="EL28">
        <v>4.8507670000000003</v>
      </c>
      <c r="EM28">
        <v>4.4094040000000003</v>
      </c>
      <c r="EN28">
        <v>4.4273170000000004</v>
      </c>
      <c r="EO28">
        <v>4.5946689999999997</v>
      </c>
      <c r="EP28">
        <v>3.0857600000000001</v>
      </c>
      <c r="EQ28">
        <v>1.5863940000000001</v>
      </c>
      <c r="ER28">
        <v>2.170852</v>
      </c>
      <c r="ES28">
        <v>1.943357</v>
      </c>
      <c r="ET28">
        <v>67.049589999999995</v>
      </c>
      <c r="EU28">
        <v>65.902799999999999</v>
      </c>
      <c r="EV28">
        <v>64.470410000000001</v>
      </c>
      <c r="EW28">
        <v>63.860930000000003</v>
      </c>
      <c r="EX28">
        <v>63.23142</v>
      </c>
      <c r="EY28">
        <v>62.406829999999999</v>
      </c>
      <c r="EZ28">
        <v>63.038440000000001</v>
      </c>
      <c r="FA28">
        <v>66.605339999999998</v>
      </c>
      <c r="FB28">
        <v>71.462720000000004</v>
      </c>
      <c r="FC28">
        <v>76.558490000000006</v>
      </c>
      <c r="FD28">
        <v>81.010279999999995</v>
      </c>
      <c r="FE28">
        <v>84.814409999999995</v>
      </c>
      <c r="FF28">
        <v>87.267439999999993</v>
      </c>
      <c r="FG28">
        <v>88.844899999999996</v>
      </c>
      <c r="FH28">
        <v>90.24539</v>
      </c>
      <c r="FI28">
        <v>90.477379999999997</v>
      </c>
      <c r="FJ28">
        <v>89.16413</v>
      </c>
      <c r="FK28">
        <v>88.004469999999998</v>
      </c>
      <c r="FL28">
        <v>86.098060000000004</v>
      </c>
      <c r="FM28">
        <v>81.255520000000004</v>
      </c>
      <c r="FN28">
        <v>77.263540000000006</v>
      </c>
      <c r="FO28">
        <v>74.952380000000005</v>
      </c>
      <c r="FP28">
        <v>72.623159999999999</v>
      </c>
      <c r="FQ28">
        <v>70.762699999999995</v>
      </c>
      <c r="FR28">
        <v>1</v>
      </c>
      <c r="FT28" s="44"/>
    </row>
    <row r="29" spans="1:176" x14ac:dyDescent="0.2">
      <c r="A29" t="s">
        <v>1</v>
      </c>
      <c r="B29" t="s">
        <v>1</v>
      </c>
      <c r="C29" s="70">
        <v>41820</v>
      </c>
      <c r="D29">
        <v>96</v>
      </c>
      <c r="E29" s="70">
        <v>868</v>
      </c>
      <c r="F29">
        <v>496.36430000000001</v>
      </c>
      <c r="G29">
        <v>497.23570000000001</v>
      </c>
      <c r="H29">
        <v>497.6764</v>
      </c>
      <c r="I29">
        <v>502.12970000000001</v>
      </c>
      <c r="J29">
        <v>511.43790000000001</v>
      </c>
      <c r="K29">
        <v>532.60519999999997</v>
      </c>
      <c r="L29">
        <v>557.88969999999995</v>
      </c>
      <c r="M29">
        <v>586.79819999999995</v>
      </c>
      <c r="N29">
        <v>609.56679999999994</v>
      </c>
      <c r="O29">
        <v>636.19179999999994</v>
      </c>
      <c r="P29">
        <v>651.46839999999997</v>
      </c>
      <c r="Q29">
        <v>664.73</v>
      </c>
      <c r="R29">
        <v>665.62699999999995</v>
      </c>
      <c r="S29">
        <v>668.96259999999995</v>
      </c>
      <c r="T29">
        <v>666.36490000000003</v>
      </c>
      <c r="U29">
        <v>651.55629999999996</v>
      </c>
      <c r="V29">
        <v>640.78160000000003</v>
      </c>
      <c r="W29">
        <v>626.73599999999999</v>
      </c>
      <c r="X29">
        <v>613.28920000000005</v>
      </c>
      <c r="Y29">
        <v>603.64250000000004</v>
      </c>
      <c r="Z29">
        <v>598.7328</v>
      </c>
      <c r="AA29">
        <v>588.27859999999998</v>
      </c>
      <c r="AB29">
        <v>573.74630000000002</v>
      </c>
      <c r="AC29">
        <v>558.10519999999997</v>
      </c>
      <c r="AD29">
        <v>-5.1266369999999997</v>
      </c>
      <c r="AE29">
        <v>-4.4780639999999998</v>
      </c>
      <c r="AF29">
        <v>-3.5839949999999998</v>
      </c>
      <c r="AG29">
        <v>-3.7599109999999998</v>
      </c>
      <c r="AH29">
        <v>-3.0626220000000002</v>
      </c>
      <c r="AI29">
        <v>-2.074522</v>
      </c>
      <c r="AJ29">
        <v>2.5568500000000001E-2</v>
      </c>
      <c r="AK29">
        <v>-0.48155199999999998</v>
      </c>
      <c r="AL29">
        <v>5.8769169999999997</v>
      </c>
      <c r="AM29">
        <v>7.0111309999999998</v>
      </c>
      <c r="AN29">
        <v>7.825018</v>
      </c>
      <c r="AO29">
        <v>12.50357</v>
      </c>
      <c r="AP29">
        <v>48.077289999999998</v>
      </c>
      <c r="AQ29">
        <v>51.944560000000003</v>
      </c>
      <c r="AR29">
        <v>38.778230000000001</v>
      </c>
      <c r="AS29">
        <v>32.563220000000001</v>
      </c>
      <c r="AT29">
        <v>34.473640000000003</v>
      </c>
      <c r="AU29">
        <v>35.711199999999998</v>
      </c>
      <c r="AV29">
        <v>33.17698</v>
      </c>
      <c r="AW29">
        <v>26.401910000000001</v>
      </c>
      <c r="AX29">
        <v>16.82996</v>
      </c>
      <c r="AY29">
        <v>6.1780850000000003</v>
      </c>
      <c r="AZ29">
        <v>1.266108</v>
      </c>
      <c r="BA29">
        <v>0.55402309999999999</v>
      </c>
      <c r="BB29">
        <v>-4.3392939999999998</v>
      </c>
      <c r="BC29">
        <v>-3.8457439999999998</v>
      </c>
      <c r="BD29">
        <v>-3.0421130000000001</v>
      </c>
      <c r="BE29">
        <v>-3.1837939999999998</v>
      </c>
      <c r="BF29">
        <v>-2.6054729999999999</v>
      </c>
      <c r="BG29">
        <v>-1.5820719999999999</v>
      </c>
      <c r="BH29">
        <v>0.55992699999999995</v>
      </c>
      <c r="BI29">
        <v>0.16325899999999999</v>
      </c>
      <c r="BJ29">
        <v>6.6234900000000003</v>
      </c>
      <c r="BK29">
        <v>7.773936</v>
      </c>
      <c r="BL29">
        <v>8.6198499999999996</v>
      </c>
      <c r="BM29">
        <v>13.36506</v>
      </c>
      <c r="BN29">
        <v>49.112200000000001</v>
      </c>
      <c r="BO29">
        <v>53.042999999999999</v>
      </c>
      <c r="BP29">
        <v>39.85595</v>
      </c>
      <c r="BQ29">
        <v>33.626510000000003</v>
      </c>
      <c r="BR29">
        <v>35.554259999999999</v>
      </c>
      <c r="BS29">
        <v>36.957419999999999</v>
      </c>
      <c r="BT29">
        <v>34.53736</v>
      </c>
      <c r="BU29">
        <v>27.700890000000001</v>
      </c>
      <c r="BV29">
        <v>18.029140000000002</v>
      </c>
      <c r="BW29">
        <v>7.4085799999999997</v>
      </c>
      <c r="BX29">
        <v>2.556622</v>
      </c>
      <c r="BY29">
        <v>1.818732</v>
      </c>
      <c r="BZ29">
        <v>-3.7939829999999999</v>
      </c>
      <c r="CA29">
        <v>-3.4078020000000002</v>
      </c>
      <c r="CB29">
        <v>-2.6668059999999998</v>
      </c>
      <c r="CC29">
        <v>-2.7847759999999999</v>
      </c>
      <c r="CD29">
        <v>-2.288853</v>
      </c>
      <c r="CE29">
        <v>-1.2410019999999999</v>
      </c>
      <c r="CF29">
        <v>0.93002209999999996</v>
      </c>
      <c r="CG29">
        <v>0.60985319999999998</v>
      </c>
      <c r="CH29">
        <v>7.1405630000000002</v>
      </c>
      <c r="CI29">
        <v>8.3022530000000003</v>
      </c>
      <c r="CJ29">
        <v>9.1703480000000006</v>
      </c>
      <c r="CK29">
        <v>13.96172</v>
      </c>
      <c r="CL29">
        <v>49.828980000000001</v>
      </c>
      <c r="CM29">
        <v>53.803780000000003</v>
      </c>
      <c r="CN29">
        <v>40.602370000000001</v>
      </c>
      <c r="CO29">
        <v>34.362949999999998</v>
      </c>
      <c r="CP29">
        <v>36.302700000000002</v>
      </c>
      <c r="CQ29">
        <v>37.82056</v>
      </c>
      <c r="CR29">
        <v>35.479550000000003</v>
      </c>
      <c r="CS29">
        <v>28.600549999999998</v>
      </c>
      <c r="CT29">
        <v>18.859690000000001</v>
      </c>
      <c r="CU29">
        <v>8.2608169999999994</v>
      </c>
      <c r="CV29">
        <v>3.4504280000000001</v>
      </c>
      <c r="CW29">
        <v>2.6946650000000001</v>
      </c>
      <c r="CX29">
        <v>-3.248672</v>
      </c>
      <c r="CY29">
        <v>-2.9698600000000002</v>
      </c>
      <c r="CZ29">
        <v>-2.2915000000000001</v>
      </c>
      <c r="DA29">
        <v>-2.3857590000000002</v>
      </c>
      <c r="DB29">
        <v>-1.972234</v>
      </c>
      <c r="DC29">
        <v>-0.89993290000000004</v>
      </c>
      <c r="DD29">
        <v>1.300117</v>
      </c>
      <c r="DE29">
        <v>1.0564469999999999</v>
      </c>
      <c r="DF29">
        <v>7.6576370000000002</v>
      </c>
      <c r="DG29">
        <v>8.8305690000000006</v>
      </c>
      <c r="DH29">
        <v>9.7208459999999999</v>
      </c>
      <c r="DI29">
        <v>14.55838</v>
      </c>
      <c r="DJ29">
        <v>50.545749999999998</v>
      </c>
      <c r="DK29">
        <v>54.56456</v>
      </c>
      <c r="DL29">
        <v>41.348790000000001</v>
      </c>
      <c r="DM29">
        <v>35.099379999999996</v>
      </c>
      <c r="DN29">
        <v>37.051139999999997</v>
      </c>
      <c r="DO29">
        <v>38.683700000000002</v>
      </c>
      <c r="DP29">
        <v>36.42174</v>
      </c>
      <c r="DQ29">
        <v>29.500219999999999</v>
      </c>
      <c r="DR29">
        <v>19.690239999999999</v>
      </c>
      <c r="DS29">
        <v>9.1130530000000007</v>
      </c>
      <c r="DT29">
        <v>4.3442340000000002</v>
      </c>
      <c r="DU29">
        <v>3.5705979999999999</v>
      </c>
      <c r="DV29">
        <v>-2.4613299999999998</v>
      </c>
      <c r="DW29">
        <v>-2.3375409999999999</v>
      </c>
      <c r="DX29">
        <v>-1.7496179999999999</v>
      </c>
      <c r="DY29">
        <v>-1.809642</v>
      </c>
      <c r="DZ29">
        <v>-1.515085</v>
      </c>
      <c r="EA29">
        <v>-0.40748269999999998</v>
      </c>
      <c r="EB29">
        <v>1.834476</v>
      </c>
      <c r="EC29">
        <v>1.7012579999999999</v>
      </c>
      <c r="ED29">
        <v>8.4042100000000008</v>
      </c>
      <c r="EE29">
        <v>9.5933740000000007</v>
      </c>
      <c r="EF29">
        <v>10.51568</v>
      </c>
      <c r="EG29">
        <v>15.41987</v>
      </c>
      <c r="EH29">
        <v>51.580660000000002</v>
      </c>
      <c r="EI29">
        <v>55.662990000000001</v>
      </c>
      <c r="EJ29">
        <v>42.42651</v>
      </c>
      <c r="EK29">
        <v>36.162669999999999</v>
      </c>
      <c r="EL29">
        <v>38.13176</v>
      </c>
      <c r="EM29">
        <v>39.929920000000003</v>
      </c>
      <c r="EN29">
        <v>37.782119999999999</v>
      </c>
      <c r="EO29">
        <v>30.799189999999999</v>
      </c>
      <c r="EP29">
        <v>20.889410000000002</v>
      </c>
      <c r="EQ29">
        <v>10.34355</v>
      </c>
      <c r="ER29">
        <v>5.6347480000000001</v>
      </c>
      <c r="ES29">
        <v>4.8353060000000001</v>
      </c>
      <c r="ET29">
        <v>70.009039999999999</v>
      </c>
      <c r="EU29">
        <v>68.689490000000006</v>
      </c>
      <c r="EV29">
        <v>67.665700000000001</v>
      </c>
      <c r="EW29">
        <v>66.643460000000005</v>
      </c>
      <c r="EX29">
        <v>65.713840000000005</v>
      </c>
      <c r="EY29">
        <v>64.934430000000006</v>
      </c>
      <c r="EZ29">
        <v>65.226569999999995</v>
      </c>
      <c r="FA29">
        <v>68.411100000000005</v>
      </c>
      <c r="FB29">
        <v>72.609009999999998</v>
      </c>
      <c r="FC29">
        <v>77.457009999999997</v>
      </c>
      <c r="FD29">
        <v>82.334479999999999</v>
      </c>
      <c r="FE29">
        <v>86.444119999999998</v>
      </c>
      <c r="FF29">
        <v>89.082049999999995</v>
      </c>
      <c r="FG29">
        <v>90.265330000000006</v>
      </c>
      <c r="FH29">
        <v>90.455190000000002</v>
      </c>
      <c r="FI29">
        <v>89.800989999999999</v>
      </c>
      <c r="FJ29">
        <v>89.198719999999994</v>
      </c>
      <c r="FK29">
        <v>88.169650000000004</v>
      </c>
      <c r="FL29">
        <v>84.819739999999996</v>
      </c>
      <c r="FM29">
        <v>81.535610000000005</v>
      </c>
      <c r="FN29">
        <v>78.276139999999998</v>
      </c>
      <c r="FO29">
        <v>75.531790000000001</v>
      </c>
      <c r="FP29">
        <v>73.481049999999996</v>
      </c>
      <c r="FQ29">
        <v>71.947209999999998</v>
      </c>
      <c r="FR29">
        <v>1</v>
      </c>
      <c r="FT29" s="44"/>
    </row>
    <row r="30" spans="1:176" x14ac:dyDescent="0.2">
      <c r="A30" t="s">
        <v>1</v>
      </c>
      <c r="B30" t="s">
        <v>1</v>
      </c>
      <c r="C30" s="70">
        <v>41827</v>
      </c>
      <c r="D30">
        <v>81</v>
      </c>
      <c r="E30" s="70">
        <v>867</v>
      </c>
      <c r="F30">
        <v>495.9502</v>
      </c>
      <c r="G30">
        <v>492.47250000000003</v>
      </c>
      <c r="H30">
        <v>487.06189999999998</v>
      </c>
      <c r="I30">
        <v>486.94810000000001</v>
      </c>
      <c r="J30">
        <v>500.19630000000001</v>
      </c>
      <c r="K30">
        <v>523.40989999999999</v>
      </c>
      <c r="L30">
        <v>551.74180000000001</v>
      </c>
      <c r="M30">
        <v>571.72180000000003</v>
      </c>
      <c r="N30">
        <v>594.5924</v>
      </c>
      <c r="O30">
        <v>617.57770000000005</v>
      </c>
      <c r="P30">
        <v>629.49419999999998</v>
      </c>
      <c r="Q30">
        <v>637.53650000000005</v>
      </c>
      <c r="R30">
        <v>636.29539999999997</v>
      </c>
      <c r="S30">
        <v>640.81150000000002</v>
      </c>
      <c r="T30">
        <v>641.17269999999996</v>
      </c>
      <c r="U30">
        <v>624.70749999999998</v>
      </c>
      <c r="V30">
        <v>619.6472</v>
      </c>
      <c r="W30">
        <v>606.65380000000005</v>
      </c>
      <c r="X30">
        <v>595.98569999999995</v>
      </c>
      <c r="Y30">
        <v>593.17280000000005</v>
      </c>
      <c r="Z30">
        <v>591.81010000000003</v>
      </c>
      <c r="AA30">
        <v>580.09220000000005</v>
      </c>
      <c r="AB30">
        <v>559.71810000000005</v>
      </c>
      <c r="AC30">
        <v>547.12300000000005</v>
      </c>
      <c r="AD30">
        <v>-1.0854680000000001</v>
      </c>
      <c r="AE30">
        <v>-1.45105</v>
      </c>
      <c r="AF30">
        <v>-0.89311209999999996</v>
      </c>
      <c r="AG30">
        <v>0.49147380000000002</v>
      </c>
      <c r="AH30">
        <v>0.2117793</v>
      </c>
      <c r="AI30">
        <v>0.55844309999999997</v>
      </c>
      <c r="AJ30">
        <v>0.72313890000000003</v>
      </c>
      <c r="AK30">
        <v>-0.42542479999999999</v>
      </c>
      <c r="AL30">
        <v>-1.220831</v>
      </c>
      <c r="AM30">
        <v>-2.2173189999999998</v>
      </c>
      <c r="AN30">
        <v>-0.2944872</v>
      </c>
      <c r="AO30">
        <v>2.2265820000000001</v>
      </c>
      <c r="AP30">
        <v>15.96787</v>
      </c>
      <c r="AQ30">
        <v>15.25187</v>
      </c>
      <c r="AR30">
        <v>16.036650000000002</v>
      </c>
      <c r="AS30">
        <v>16.515989999999999</v>
      </c>
      <c r="AT30">
        <v>16.00855</v>
      </c>
      <c r="AU30">
        <v>16.08278</v>
      </c>
      <c r="AV30">
        <v>11.882020000000001</v>
      </c>
      <c r="AW30">
        <v>11.47279</v>
      </c>
      <c r="AX30">
        <v>3.4595189999999998</v>
      </c>
      <c r="AY30">
        <v>0.47153640000000002</v>
      </c>
      <c r="AZ30">
        <v>1.614241</v>
      </c>
      <c r="BA30">
        <v>1.48455</v>
      </c>
      <c r="BB30">
        <v>-0.7629802</v>
      </c>
      <c r="BC30">
        <v>-1.1780930000000001</v>
      </c>
      <c r="BD30">
        <v>-0.66045860000000001</v>
      </c>
      <c r="BE30">
        <v>0.70744050000000003</v>
      </c>
      <c r="BF30">
        <v>0.42517700000000003</v>
      </c>
      <c r="BG30">
        <v>0.77316169999999995</v>
      </c>
      <c r="BH30">
        <v>0.92854300000000001</v>
      </c>
      <c r="BI30">
        <v>-0.16680300000000001</v>
      </c>
      <c r="BJ30">
        <v>-0.91597810000000002</v>
      </c>
      <c r="BK30">
        <v>-1.8776980000000001</v>
      </c>
      <c r="BL30">
        <v>0.1100472</v>
      </c>
      <c r="BM30">
        <v>2.637778</v>
      </c>
      <c r="BN30">
        <v>16.472290000000001</v>
      </c>
      <c r="BO30">
        <v>15.830299999999999</v>
      </c>
      <c r="BP30">
        <v>16.543369999999999</v>
      </c>
      <c r="BQ30">
        <v>16.952249999999999</v>
      </c>
      <c r="BR30">
        <v>16.412400000000002</v>
      </c>
      <c r="BS30">
        <v>16.488150000000001</v>
      </c>
      <c r="BT30">
        <v>12.28668</v>
      </c>
      <c r="BU30">
        <v>11.873570000000001</v>
      </c>
      <c r="BV30">
        <v>3.8815040000000001</v>
      </c>
      <c r="BW30">
        <v>0.90420999999999996</v>
      </c>
      <c r="BX30">
        <v>2.0589219999999999</v>
      </c>
      <c r="BY30">
        <v>1.9429240000000001</v>
      </c>
      <c r="BZ30">
        <v>-0.53962589999999999</v>
      </c>
      <c r="CA30">
        <v>-0.98904420000000004</v>
      </c>
      <c r="CB30">
        <v>-0.49932349999999998</v>
      </c>
      <c r="CC30">
        <v>0.85701839999999996</v>
      </c>
      <c r="CD30">
        <v>0.57297560000000003</v>
      </c>
      <c r="CE30">
        <v>0.92187520000000001</v>
      </c>
      <c r="CF30">
        <v>1.070805</v>
      </c>
      <c r="CG30">
        <v>1.23176E-2</v>
      </c>
      <c r="CH30">
        <v>-0.70483799999999996</v>
      </c>
      <c r="CI30">
        <v>-1.642477</v>
      </c>
      <c r="CJ30">
        <v>0.39022649999999998</v>
      </c>
      <c r="CK30">
        <v>2.9225699999999999</v>
      </c>
      <c r="CL30">
        <v>16.821650000000002</v>
      </c>
      <c r="CM30">
        <v>16.230920000000001</v>
      </c>
      <c r="CN30">
        <v>16.89432</v>
      </c>
      <c r="CO30">
        <v>17.2544</v>
      </c>
      <c r="CP30">
        <v>16.69211</v>
      </c>
      <c r="CQ30">
        <v>16.768910000000002</v>
      </c>
      <c r="CR30">
        <v>12.566940000000001</v>
      </c>
      <c r="CS30">
        <v>12.151149999999999</v>
      </c>
      <c r="CT30">
        <v>4.1737700000000002</v>
      </c>
      <c r="CU30">
        <v>1.203878</v>
      </c>
      <c r="CV30">
        <v>2.3669060000000002</v>
      </c>
      <c r="CW30">
        <v>2.260392</v>
      </c>
      <c r="CX30">
        <v>-0.31627159999999999</v>
      </c>
      <c r="CY30">
        <v>-0.79999509999999996</v>
      </c>
      <c r="CZ30">
        <v>-0.3381883</v>
      </c>
      <c r="DA30">
        <v>1.006596</v>
      </c>
      <c r="DB30">
        <v>0.72077420000000003</v>
      </c>
      <c r="DC30">
        <v>1.070589</v>
      </c>
      <c r="DD30">
        <v>1.213068</v>
      </c>
      <c r="DE30">
        <v>0.19143830000000001</v>
      </c>
      <c r="DF30">
        <v>-0.49369780000000002</v>
      </c>
      <c r="DG30">
        <v>-1.407257</v>
      </c>
      <c r="DH30">
        <v>0.67040580000000005</v>
      </c>
      <c r="DI30">
        <v>3.207363</v>
      </c>
      <c r="DJ30">
        <v>17.170999999999999</v>
      </c>
      <c r="DK30">
        <v>16.631550000000001</v>
      </c>
      <c r="DL30">
        <v>17.245270000000001</v>
      </c>
      <c r="DM30">
        <v>17.556550000000001</v>
      </c>
      <c r="DN30">
        <v>16.971820000000001</v>
      </c>
      <c r="DO30">
        <v>17.049669999999999</v>
      </c>
      <c r="DP30">
        <v>12.847200000000001</v>
      </c>
      <c r="DQ30">
        <v>12.42873</v>
      </c>
      <c r="DR30">
        <v>4.4660349999999998</v>
      </c>
      <c r="DS30">
        <v>1.503547</v>
      </c>
      <c r="DT30">
        <v>2.67489</v>
      </c>
      <c r="DU30">
        <v>2.5778599999999998</v>
      </c>
      <c r="DV30">
        <v>6.2164999999999998E-3</v>
      </c>
      <c r="DW30">
        <v>-0.52703829999999996</v>
      </c>
      <c r="DX30">
        <v>-0.1055348</v>
      </c>
      <c r="DY30">
        <v>1.2225630000000001</v>
      </c>
      <c r="DZ30">
        <v>0.934172</v>
      </c>
      <c r="EA30">
        <v>1.285307</v>
      </c>
      <c r="EB30">
        <v>1.418472</v>
      </c>
      <c r="EC30">
        <v>0.45006010000000002</v>
      </c>
      <c r="ED30">
        <v>-0.18884490000000001</v>
      </c>
      <c r="EE30">
        <v>-1.067636</v>
      </c>
      <c r="EF30">
        <v>1.07494</v>
      </c>
      <c r="EG30">
        <v>3.6185589999999999</v>
      </c>
      <c r="EH30">
        <v>17.675419999999999</v>
      </c>
      <c r="EI30">
        <v>17.209980000000002</v>
      </c>
      <c r="EJ30">
        <v>17.75198</v>
      </c>
      <c r="EK30">
        <v>17.992819999999998</v>
      </c>
      <c r="EL30">
        <v>17.375679999999999</v>
      </c>
      <c r="EM30">
        <v>17.455030000000001</v>
      </c>
      <c r="EN30">
        <v>13.251860000000001</v>
      </c>
      <c r="EO30">
        <v>12.82952</v>
      </c>
      <c r="EP30">
        <v>4.8880210000000002</v>
      </c>
      <c r="EQ30">
        <v>1.9362200000000001</v>
      </c>
      <c r="ER30">
        <v>3.11957</v>
      </c>
      <c r="ES30">
        <v>3.0362339999999999</v>
      </c>
      <c r="ET30">
        <v>66.528980000000004</v>
      </c>
      <c r="EU30">
        <v>65.411289999999994</v>
      </c>
      <c r="EV30">
        <v>64.248140000000006</v>
      </c>
      <c r="EW30">
        <v>63.751350000000002</v>
      </c>
      <c r="EX30">
        <v>63.448659999999997</v>
      </c>
      <c r="EY30">
        <v>62.939149999999998</v>
      </c>
      <c r="EZ30">
        <v>62.915790000000001</v>
      </c>
      <c r="FA30">
        <v>64.138729999999995</v>
      </c>
      <c r="FB30">
        <v>66.474990000000005</v>
      </c>
      <c r="FC30">
        <v>70.186790000000002</v>
      </c>
      <c r="FD30">
        <v>73.012439999999998</v>
      </c>
      <c r="FE30">
        <v>75.164270000000002</v>
      </c>
      <c r="FF30">
        <v>77.728629999999995</v>
      </c>
      <c r="FG30">
        <v>80.107680000000002</v>
      </c>
      <c r="FH30">
        <v>81.118560000000002</v>
      </c>
      <c r="FI30">
        <v>80.888900000000007</v>
      </c>
      <c r="FJ30">
        <v>81.716930000000005</v>
      </c>
      <c r="FK30">
        <v>82.389359999999996</v>
      </c>
      <c r="FL30">
        <v>81.278930000000003</v>
      </c>
      <c r="FM30">
        <v>79.405230000000003</v>
      </c>
      <c r="FN30">
        <v>76.207909999999998</v>
      </c>
      <c r="FO30">
        <v>72.571920000000006</v>
      </c>
      <c r="FP30">
        <v>70.458889999999997</v>
      </c>
      <c r="FQ30">
        <v>68.922139999999999</v>
      </c>
      <c r="FR30">
        <v>1</v>
      </c>
      <c r="FT30" s="44"/>
    </row>
    <row r="31" spans="1:176" x14ac:dyDescent="0.2">
      <c r="A31" t="s">
        <v>1</v>
      </c>
      <c r="B31" t="s">
        <v>1</v>
      </c>
      <c r="C31" s="70">
        <v>41834</v>
      </c>
      <c r="D31">
        <v>0</v>
      </c>
      <c r="E31" s="70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T31" s="44"/>
    </row>
    <row r="32" spans="1:176" x14ac:dyDescent="0.2">
      <c r="A32" t="s">
        <v>1</v>
      </c>
      <c r="B32" t="s">
        <v>1</v>
      </c>
      <c r="C32" s="70">
        <v>41848</v>
      </c>
      <c r="D32">
        <v>88</v>
      </c>
      <c r="E32" s="70">
        <v>867</v>
      </c>
      <c r="F32">
        <v>529.74300000000005</v>
      </c>
      <c r="G32">
        <v>525.05079999999998</v>
      </c>
      <c r="H32">
        <v>526.94399999999996</v>
      </c>
      <c r="I32">
        <v>531.09760000000006</v>
      </c>
      <c r="J32">
        <v>539.1626</v>
      </c>
      <c r="K32">
        <v>564.08799999999997</v>
      </c>
      <c r="L32">
        <v>597.11300000000006</v>
      </c>
      <c r="M32">
        <v>621.81579999999997</v>
      </c>
      <c r="N32">
        <v>641.03800000000001</v>
      </c>
      <c r="O32">
        <v>660.40049999999997</v>
      </c>
      <c r="P32">
        <v>670.96910000000003</v>
      </c>
      <c r="Q32">
        <v>682.02570000000003</v>
      </c>
      <c r="R32">
        <v>680.6422</v>
      </c>
      <c r="S32">
        <v>691.37840000000006</v>
      </c>
      <c r="T32">
        <v>693.17100000000005</v>
      </c>
      <c r="U32">
        <v>678.67719999999997</v>
      </c>
      <c r="V32">
        <v>664.43960000000004</v>
      </c>
      <c r="W32">
        <v>648.26930000000004</v>
      </c>
      <c r="X32">
        <v>636.20090000000005</v>
      </c>
      <c r="Y32">
        <v>627.45119999999997</v>
      </c>
      <c r="Z32">
        <v>622.3809</v>
      </c>
      <c r="AA32">
        <v>612.95870000000002</v>
      </c>
      <c r="AB32">
        <v>596.68370000000004</v>
      </c>
      <c r="AC32">
        <v>584.91589999999997</v>
      </c>
      <c r="AD32">
        <v>0.48870150000000001</v>
      </c>
      <c r="AE32">
        <v>-0.1248334</v>
      </c>
      <c r="AF32">
        <v>-1.0417449999999999</v>
      </c>
      <c r="AG32">
        <v>-1.0171559999999999</v>
      </c>
      <c r="AH32">
        <v>-1.5113099999999999</v>
      </c>
      <c r="AI32">
        <v>-2.2743600000000002</v>
      </c>
      <c r="AJ32">
        <v>-2.3509129999999998</v>
      </c>
      <c r="AK32">
        <v>-5.6142299999999999E-2</v>
      </c>
      <c r="AL32">
        <v>-0.79978640000000001</v>
      </c>
      <c r="AM32">
        <v>-3.6925650000000001</v>
      </c>
      <c r="AN32">
        <v>-1.0953809999999999</v>
      </c>
      <c r="AO32">
        <v>6.6210820000000004</v>
      </c>
      <c r="AP32">
        <v>35.148879999999998</v>
      </c>
      <c r="AQ32">
        <v>33.565620000000003</v>
      </c>
      <c r="AR32">
        <v>29.471979999999999</v>
      </c>
      <c r="AS32">
        <v>27.342880000000001</v>
      </c>
      <c r="AT32">
        <v>26.500879999999999</v>
      </c>
      <c r="AU32">
        <v>25.127130000000001</v>
      </c>
      <c r="AV32">
        <v>24.84995</v>
      </c>
      <c r="AW32">
        <v>22.252649999999999</v>
      </c>
      <c r="AX32">
        <v>14.35272</v>
      </c>
      <c r="AY32">
        <v>2.259134</v>
      </c>
      <c r="AZ32">
        <v>2.6058270000000001</v>
      </c>
      <c r="BA32">
        <v>1.228145</v>
      </c>
      <c r="BB32">
        <v>1.3135889999999999</v>
      </c>
      <c r="BC32">
        <v>0.46951559999999998</v>
      </c>
      <c r="BD32">
        <v>-0.52269290000000002</v>
      </c>
      <c r="BE32">
        <v>-0.50403960000000003</v>
      </c>
      <c r="BF32">
        <v>-1.0704659999999999</v>
      </c>
      <c r="BG32">
        <v>-1.7912920000000001</v>
      </c>
      <c r="BH32">
        <v>-1.842236</v>
      </c>
      <c r="BI32">
        <v>0.54272880000000001</v>
      </c>
      <c r="BJ32">
        <v>-0.17528640000000001</v>
      </c>
      <c r="BK32">
        <v>-3.086389</v>
      </c>
      <c r="BL32">
        <v>-0.44043729999999998</v>
      </c>
      <c r="BM32">
        <v>7.3242120000000002</v>
      </c>
      <c r="BN32">
        <v>36.005659999999999</v>
      </c>
      <c r="BO32">
        <v>34.489530000000002</v>
      </c>
      <c r="BP32">
        <v>30.43385</v>
      </c>
      <c r="BQ32">
        <v>28.296410000000002</v>
      </c>
      <c r="BR32">
        <v>27.444320000000001</v>
      </c>
      <c r="BS32">
        <v>26.201239999999999</v>
      </c>
      <c r="BT32">
        <v>25.9038</v>
      </c>
      <c r="BU32">
        <v>23.242450000000002</v>
      </c>
      <c r="BV32">
        <v>15.40405</v>
      </c>
      <c r="BW32">
        <v>3.3285140000000002</v>
      </c>
      <c r="BX32">
        <v>3.7117740000000001</v>
      </c>
      <c r="BY32">
        <v>2.3164880000000001</v>
      </c>
      <c r="BZ32">
        <v>1.884903</v>
      </c>
      <c r="CA32">
        <v>0.8811599</v>
      </c>
      <c r="CB32">
        <v>-0.16319929999999999</v>
      </c>
      <c r="CC32">
        <v>-0.14865709999999999</v>
      </c>
      <c r="CD32">
        <v>-0.7651386</v>
      </c>
      <c r="CE32">
        <v>-1.4567209999999999</v>
      </c>
      <c r="CF32">
        <v>-1.4899290000000001</v>
      </c>
      <c r="CG32">
        <v>0.95750519999999995</v>
      </c>
      <c r="CH32">
        <v>0.25724039999999998</v>
      </c>
      <c r="CI32">
        <v>-2.6665540000000001</v>
      </c>
      <c r="CJ32">
        <v>1.3174399999999999E-2</v>
      </c>
      <c r="CK32">
        <v>7.8111980000000001</v>
      </c>
      <c r="CL32">
        <v>36.599069999999998</v>
      </c>
      <c r="CM32">
        <v>35.129429999999999</v>
      </c>
      <c r="CN32">
        <v>31.10004</v>
      </c>
      <c r="CO32">
        <v>28.95682</v>
      </c>
      <c r="CP32">
        <v>28.097750000000001</v>
      </c>
      <c r="CQ32">
        <v>26.945170000000001</v>
      </c>
      <c r="CR32">
        <v>26.633700000000001</v>
      </c>
      <c r="CS32">
        <v>23.927980000000002</v>
      </c>
      <c r="CT32">
        <v>16.132190000000001</v>
      </c>
      <c r="CU32">
        <v>4.0691629999999996</v>
      </c>
      <c r="CV32">
        <v>4.4777490000000002</v>
      </c>
      <c r="CW32">
        <v>3.070271</v>
      </c>
      <c r="CX32">
        <v>2.4562179999999998</v>
      </c>
      <c r="CY32">
        <v>1.2928040000000001</v>
      </c>
      <c r="CZ32">
        <v>0.1962943</v>
      </c>
      <c r="DA32">
        <v>0.2067254</v>
      </c>
      <c r="DB32">
        <v>-0.45981139999999998</v>
      </c>
      <c r="DC32">
        <v>-1.1221490000000001</v>
      </c>
      <c r="DD32">
        <v>-1.137621</v>
      </c>
      <c r="DE32">
        <v>1.372282</v>
      </c>
      <c r="DF32">
        <v>0.68976709999999997</v>
      </c>
      <c r="DG32">
        <v>-2.2467190000000001</v>
      </c>
      <c r="DH32">
        <v>0.46678619999999998</v>
      </c>
      <c r="DI32">
        <v>8.2981839999999991</v>
      </c>
      <c r="DJ32">
        <v>37.192480000000003</v>
      </c>
      <c r="DK32">
        <v>35.769329999999997</v>
      </c>
      <c r="DL32">
        <v>31.76623</v>
      </c>
      <c r="DM32">
        <v>29.617229999999999</v>
      </c>
      <c r="DN32">
        <v>28.751180000000002</v>
      </c>
      <c r="DO32">
        <v>27.6891</v>
      </c>
      <c r="DP32">
        <v>27.363600000000002</v>
      </c>
      <c r="DQ32">
        <v>24.613520000000001</v>
      </c>
      <c r="DR32">
        <v>16.860340000000001</v>
      </c>
      <c r="DS32">
        <v>4.809812</v>
      </c>
      <c r="DT32">
        <v>5.2437250000000004</v>
      </c>
      <c r="DU32">
        <v>3.8240539999999998</v>
      </c>
      <c r="DV32">
        <v>3.2811050000000002</v>
      </c>
      <c r="DW32">
        <v>1.8871530000000001</v>
      </c>
      <c r="DX32">
        <v>0.71534600000000004</v>
      </c>
      <c r="DY32">
        <v>0.71984139999999996</v>
      </c>
      <c r="DZ32">
        <v>-1.8967600000000001E-2</v>
      </c>
      <c r="EA32">
        <v>-0.63908140000000002</v>
      </c>
      <c r="EB32">
        <v>-0.62894430000000001</v>
      </c>
      <c r="EC32">
        <v>1.9711529999999999</v>
      </c>
      <c r="ED32">
        <v>1.3142670000000001</v>
      </c>
      <c r="EE32">
        <v>-1.6405430000000001</v>
      </c>
      <c r="EF32">
        <v>1.121729</v>
      </c>
      <c r="EG32">
        <v>9.001315</v>
      </c>
      <c r="EH32">
        <v>38.049259999999997</v>
      </c>
      <c r="EI32">
        <v>36.69323</v>
      </c>
      <c r="EJ32">
        <v>32.728099999999998</v>
      </c>
      <c r="EK32">
        <v>30.57076</v>
      </c>
      <c r="EL32">
        <v>29.69463</v>
      </c>
      <c r="EM32">
        <v>28.763210000000001</v>
      </c>
      <c r="EN32">
        <v>28.417449999999999</v>
      </c>
      <c r="EO32">
        <v>25.60332</v>
      </c>
      <c r="EP32">
        <v>17.911670000000001</v>
      </c>
      <c r="EQ32">
        <v>5.8791909999999996</v>
      </c>
      <c r="ER32">
        <v>6.349672</v>
      </c>
      <c r="ES32">
        <v>4.9123970000000003</v>
      </c>
      <c r="ET32">
        <v>69.924710000000005</v>
      </c>
      <c r="EU32">
        <v>69.011529999999993</v>
      </c>
      <c r="EV32">
        <v>68.072879999999998</v>
      </c>
      <c r="EW32">
        <v>66.910110000000003</v>
      </c>
      <c r="EX32">
        <v>66.153000000000006</v>
      </c>
      <c r="EY32">
        <v>65.885949999999994</v>
      </c>
      <c r="EZ32">
        <v>65.646720000000002</v>
      </c>
      <c r="FA32">
        <v>66.417190000000005</v>
      </c>
      <c r="FB32">
        <v>69.083389999999994</v>
      </c>
      <c r="FC32">
        <v>72.068150000000003</v>
      </c>
      <c r="FD32">
        <v>75.329830000000001</v>
      </c>
      <c r="FE32">
        <v>78.788089999999997</v>
      </c>
      <c r="FF32">
        <v>81.548090000000002</v>
      </c>
      <c r="FG32">
        <v>83.460809999999995</v>
      </c>
      <c r="FH32">
        <v>84.081119999999999</v>
      </c>
      <c r="FI32">
        <v>84.18974</v>
      </c>
      <c r="FJ32">
        <v>83.318539999999999</v>
      </c>
      <c r="FK32">
        <v>82.7911</v>
      </c>
      <c r="FL32">
        <v>81.265829999999994</v>
      </c>
      <c r="FM32">
        <v>78.480199999999996</v>
      </c>
      <c r="FN32">
        <v>75.698819999999998</v>
      </c>
      <c r="FO32">
        <v>73.787400000000005</v>
      </c>
      <c r="FP32">
        <v>72.559659999999994</v>
      </c>
      <c r="FQ32">
        <v>71.322999999999993</v>
      </c>
      <c r="FR32">
        <v>1</v>
      </c>
      <c r="FT32" s="44"/>
    </row>
    <row r="33" spans="1:176" x14ac:dyDescent="0.2">
      <c r="A33" t="s">
        <v>1</v>
      </c>
      <c r="B33" t="s">
        <v>1</v>
      </c>
      <c r="C33" s="70">
        <v>41849</v>
      </c>
      <c r="D33">
        <v>79</v>
      </c>
      <c r="E33" s="70">
        <v>866</v>
      </c>
      <c r="F33">
        <v>576.73749999999995</v>
      </c>
      <c r="G33">
        <v>564.64940000000001</v>
      </c>
      <c r="H33">
        <v>557.33540000000005</v>
      </c>
      <c r="I33">
        <v>555.00630000000001</v>
      </c>
      <c r="J33">
        <v>567.66139999999996</v>
      </c>
      <c r="K33">
        <v>593.3777</v>
      </c>
      <c r="L33">
        <v>626.34010000000001</v>
      </c>
      <c r="M33">
        <v>644.18460000000005</v>
      </c>
      <c r="N33">
        <v>654.93020000000001</v>
      </c>
      <c r="O33">
        <v>674.18330000000003</v>
      </c>
      <c r="P33">
        <v>686.03959999999995</v>
      </c>
      <c r="Q33">
        <v>692.553</v>
      </c>
      <c r="R33">
        <v>687.80079999999998</v>
      </c>
      <c r="S33">
        <v>692.54380000000003</v>
      </c>
      <c r="T33">
        <v>685.29920000000004</v>
      </c>
      <c r="U33">
        <v>668.52610000000004</v>
      </c>
      <c r="V33">
        <v>662.05370000000005</v>
      </c>
      <c r="W33">
        <v>648.39859999999999</v>
      </c>
      <c r="X33">
        <v>636.43370000000004</v>
      </c>
      <c r="Y33">
        <v>625.84490000000005</v>
      </c>
      <c r="Z33">
        <v>623.70939999999996</v>
      </c>
      <c r="AA33">
        <v>620.02729999999997</v>
      </c>
      <c r="AB33">
        <v>608.52229999999997</v>
      </c>
      <c r="AC33">
        <v>593.57680000000005</v>
      </c>
      <c r="AD33">
        <v>4.739865</v>
      </c>
      <c r="AE33">
        <v>2.4078080000000002</v>
      </c>
      <c r="AF33">
        <v>1.6824159999999999</v>
      </c>
      <c r="AG33">
        <v>1.6626879999999999</v>
      </c>
      <c r="AH33">
        <v>8.8402900000000006E-2</v>
      </c>
      <c r="AI33">
        <v>-2.7421540000000002</v>
      </c>
      <c r="AJ33">
        <v>-3.7603420000000001</v>
      </c>
      <c r="AK33">
        <v>-3.6295999999999999</v>
      </c>
      <c r="AL33">
        <v>-2.202747</v>
      </c>
      <c r="AM33">
        <v>-2.924245</v>
      </c>
      <c r="AN33">
        <v>-1.7530049999999999</v>
      </c>
      <c r="AO33">
        <v>5.7160229999999999</v>
      </c>
      <c r="AP33">
        <v>24.211120000000001</v>
      </c>
      <c r="AQ33">
        <v>25.91047</v>
      </c>
      <c r="AR33">
        <v>25.71603</v>
      </c>
      <c r="AS33">
        <v>26.017659999999999</v>
      </c>
      <c r="AT33">
        <v>22.27131</v>
      </c>
      <c r="AU33">
        <v>17.683530000000001</v>
      </c>
      <c r="AV33">
        <v>15.967359999999999</v>
      </c>
      <c r="AW33">
        <v>16.20364</v>
      </c>
      <c r="AX33">
        <v>11.04584</v>
      </c>
      <c r="AY33">
        <v>9.602214</v>
      </c>
      <c r="AZ33">
        <v>9.2101780000000009</v>
      </c>
      <c r="BA33">
        <v>8.6040779999999994</v>
      </c>
      <c r="BB33">
        <v>5.1374040000000001</v>
      </c>
      <c r="BC33">
        <v>2.7882500000000001</v>
      </c>
      <c r="BD33">
        <v>1.9422630000000001</v>
      </c>
      <c r="BE33">
        <v>1.881931</v>
      </c>
      <c r="BF33">
        <v>0.34306019999999998</v>
      </c>
      <c r="BG33">
        <v>-2.4614699999999998</v>
      </c>
      <c r="BH33">
        <v>-3.4727139999999999</v>
      </c>
      <c r="BI33">
        <v>-3.3247439999999999</v>
      </c>
      <c r="BJ33">
        <v>-1.9394579999999999</v>
      </c>
      <c r="BK33">
        <v>-2.6389649999999998</v>
      </c>
      <c r="BL33">
        <v>-1.4287510000000001</v>
      </c>
      <c r="BM33">
        <v>6.0458610000000004</v>
      </c>
      <c r="BN33">
        <v>24.637409999999999</v>
      </c>
      <c r="BO33">
        <v>26.261479999999999</v>
      </c>
      <c r="BP33">
        <v>26.07236</v>
      </c>
      <c r="BQ33">
        <v>26.377379999999999</v>
      </c>
      <c r="BR33">
        <v>22.605060000000002</v>
      </c>
      <c r="BS33">
        <v>18.028980000000001</v>
      </c>
      <c r="BT33">
        <v>16.318850000000001</v>
      </c>
      <c r="BU33">
        <v>16.55097</v>
      </c>
      <c r="BV33">
        <v>11.429970000000001</v>
      </c>
      <c r="BW33">
        <v>10.001799999999999</v>
      </c>
      <c r="BX33">
        <v>9.5560550000000006</v>
      </c>
      <c r="BY33">
        <v>8.9501349999999995</v>
      </c>
      <c r="BZ33">
        <v>5.4127390000000002</v>
      </c>
      <c r="CA33">
        <v>3.0517430000000001</v>
      </c>
      <c r="CB33">
        <v>2.1222319999999999</v>
      </c>
      <c r="CC33">
        <v>2.0337779999999999</v>
      </c>
      <c r="CD33">
        <v>0.51943510000000004</v>
      </c>
      <c r="CE33">
        <v>-2.2670689999999998</v>
      </c>
      <c r="CF33">
        <v>-3.2735029999999998</v>
      </c>
      <c r="CG33">
        <v>-3.1136020000000002</v>
      </c>
      <c r="CH33">
        <v>-1.7571049999999999</v>
      </c>
      <c r="CI33">
        <v>-2.4413809999999998</v>
      </c>
      <c r="CJ33">
        <v>-1.2041740000000001</v>
      </c>
      <c r="CK33">
        <v>6.2743060000000002</v>
      </c>
      <c r="CL33">
        <v>24.932670000000002</v>
      </c>
      <c r="CM33">
        <v>26.504580000000001</v>
      </c>
      <c r="CN33">
        <v>26.31915</v>
      </c>
      <c r="CO33">
        <v>26.62651</v>
      </c>
      <c r="CP33">
        <v>22.836220000000001</v>
      </c>
      <c r="CQ33">
        <v>18.268239999999999</v>
      </c>
      <c r="CR33">
        <v>16.562290000000001</v>
      </c>
      <c r="CS33">
        <v>16.791519999999998</v>
      </c>
      <c r="CT33">
        <v>11.696020000000001</v>
      </c>
      <c r="CU33">
        <v>10.278560000000001</v>
      </c>
      <c r="CV33">
        <v>9.7956090000000007</v>
      </c>
      <c r="CW33">
        <v>9.1898129999999991</v>
      </c>
      <c r="CX33">
        <v>5.6880730000000002</v>
      </c>
      <c r="CY33">
        <v>3.3152349999999999</v>
      </c>
      <c r="CZ33">
        <v>2.3022019999999999</v>
      </c>
      <c r="DA33">
        <v>2.1856260000000001</v>
      </c>
      <c r="DB33">
        <v>0.69581000000000004</v>
      </c>
      <c r="DC33">
        <v>-2.0726680000000002</v>
      </c>
      <c r="DD33">
        <v>-3.0742929999999999</v>
      </c>
      <c r="DE33">
        <v>-2.9024589999999999</v>
      </c>
      <c r="DF33">
        <v>-1.5747519999999999</v>
      </c>
      <c r="DG33">
        <v>-2.2437969999999998</v>
      </c>
      <c r="DH33">
        <v>-0.9795973</v>
      </c>
      <c r="DI33">
        <v>6.5027499999999998</v>
      </c>
      <c r="DJ33">
        <v>25.227920000000001</v>
      </c>
      <c r="DK33">
        <v>26.747689999999999</v>
      </c>
      <c r="DL33">
        <v>26.565950000000001</v>
      </c>
      <c r="DM33">
        <v>26.87565</v>
      </c>
      <c r="DN33">
        <v>23.06738</v>
      </c>
      <c r="DO33">
        <v>18.507490000000001</v>
      </c>
      <c r="DP33">
        <v>16.80574</v>
      </c>
      <c r="DQ33">
        <v>17.032080000000001</v>
      </c>
      <c r="DR33">
        <v>11.962070000000001</v>
      </c>
      <c r="DS33">
        <v>10.55531</v>
      </c>
      <c r="DT33">
        <v>10.035159999999999</v>
      </c>
      <c r="DU33">
        <v>9.4294899999999995</v>
      </c>
      <c r="DV33">
        <v>6.0856130000000004</v>
      </c>
      <c r="DW33">
        <v>3.6956769999999999</v>
      </c>
      <c r="DX33">
        <v>2.562049</v>
      </c>
      <c r="DY33">
        <v>2.4048690000000001</v>
      </c>
      <c r="DZ33">
        <v>0.95046730000000001</v>
      </c>
      <c r="EA33">
        <v>-1.7919830000000001</v>
      </c>
      <c r="EB33">
        <v>-2.786664</v>
      </c>
      <c r="EC33">
        <v>-2.5976029999999999</v>
      </c>
      <c r="ED33">
        <v>-1.311463</v>
      </c>
      <c r="EE33">
        <v>-1.9585159999999999</v>
      </c>
      <c r="EF33">
        <v>-0.65534360000000003</v>
      </c>
      <c r="EG33">
        <v>6.8325880000000003</v>
      </c>
      <c r="EH33">
        <v>25.654219999999999</v>
      </c>
      <c r="EI33">
        <v>27.098690000000001</v>
      </c>
      <c r="EJ33">
        <v>26.922280000000001</v>
      </c>
      <c r="EK33">
        <v>27.23536</v>
      </c>
      <c r="EL33">
        <v>23.401140000000002</v>
      </c>
      <c r="EM33">
        <v>18.85294</v>
      </c>
      <c r="EN33">
        <v>17.157229999999998</v>
      </c>
      <c r="EO33">
        <v>17.37941</v>
      </c>
      <c r="EP33">
        <v>12.3462</v>
      </c>
      <c r="EQ33">
        <v>10.9549</v>
      </c>
      <c r="ER33">
        <v>10.38104</v>
      </c>
      <c r="ES33">
        <v>9.7755469999999995</v>
      </c>
      <c r="ET33">
        <v>70.523510000000002</v>
      </c>
      <c r="EU33">
        <v>69.541589999999999</v>
      </c>
      <c r="EV33">
        <v>68.897710000000004</v>
      </c>
      <c r="EW33">
        <v>68.246700000000004</v>
      </c>
      <c r="EX33">
        <v>67.073170000000005</v>
      </c>
      <c r="EY33">
        <v>66.099890000000002</v>
      </c>
      <c r="EZ33">
        <v>65.632260000000002</v>
      </c>
      <c r="FA33">
        <v>66.756950000000003</v>
      </c>
      <c r="FB33">
        <v>69.110960000000006</v>
      </c>
      <c r="FC33">
        <v>72.60275</v>
      </c>
      <c r="FD33">
        <v>76.786109999999994</v>
      </c>
      <c r="FE33">
        <v>80.282259999999994</v>
      </c>
      <c r="FF33">
        <v>82.595380000000006</v>
      </c>
      <c r="FG33">
        <v>84.820769999999996</v>
      </c>
      <c r="FH33">
        <v>86.303849999999997</v>
      </c>
      <c r="FI33">
        <v>87.63391</v>
      </c>
      <c r="FJ33">
        <v>87.871340000000004</v>
      </c>
      <c r="FK33">
        <v>87.512219999999999</v>
      </c>
      <c r="FL33">
        <v>85.496430000000004</v>
      </c>
      <c r="FM33">
        <v>82.09084</v>
      </c>
      <c r="FN33">
        <v>78.569760000000002</v>
      </c>
      <c r="FO33">
        <v>75.774429999999995</v>
      </c>
      <c r="FP33">
        <v>73.817760000000007</v>
      </c>
      <c r="FQ33">
        <v>72.497929999999997</v>
      </c>
      <c r="FR33">
        <v>1</v>
      </c>
      <c r="FT33" s="44"/>
    </row>
    <row r="34" spans="1:176" x14ac:dyDescent="0.2">
      <c r="A34" t="s">
        <v>1</v>
      </c>
      <c r="B34" t="s">
        <v>1</v>
      </c>
      <c r="C34" s="70">
        <v>41850</v>
      </c>
      <c r="D34">
        <v>81</v>
      </c>
      <c r="E34" s="70">
        <v>866</v>
      </c>
      <c r="F34">
        <v>587.30709999999999</v>
      </c>
      <c r="G34">
        <v>573.52620000000002</v>
      </c>
      <c r="H34">
        <v>561.67470000000003</v>
      </c>
      <c r="I34">
        <v>559.49850000000004</v>
      </c>
      <c r="J34">
        <v>568.36199999999997</v>
      </c>
      <c r="K34">
        <v>586.73360000000002</v>
      </c>
      <c r="L34">
        <v>617.69100000000003</v>
      </c>
      <c r="M34">
        <v>636.51530000000002</v>
      </c>
      <c r="N34">
        <v>655.63350000000003</v>
      </c>
      <c r="O34">
        <v>668.71029999999996</v>
      </c>
      <c r="P34">
        <v>681.75450000000001</v>
      </c>
      <c r="Q34">
        <v>691.80690000000004</v>
      </c>
      <c r="R34">
        <v>688.44949999999994</v>
      </c>
      <c r="S34">
        <v>694.35</v>
      </c>
      <c r="T34">
        <v>693.64829999999995</v>
      </c>
      <c r="U34">
        <v>686.96559999999999</v>
      </c>
      <c r="V34">
        <v>681.10749999999996</v>
      </c>
      <c r="W34">
        <v>667.72659999999996</v>
      </c>
      <c r="X34">
        <v>653.87670000000003</v>
      </c>
      <c r="Y34">
        <v>642.26620000000003</v>
      </c>
      <c r="Z34">
        <v>639.04970000000003</v>
      </c>
      <c r="AA34">
        <v>631.41459999999995</v>
      </c>
      <c r="AB34">
        <v>613.2645</v>
      </c>
      <c r="AC34">
        <v>599.37189999999998</v>
      </c>
      <c r="AD34">
        <v>5.1648990000000001</v>
      </c>
      <c r="AE34">
        <v>-0.88776639999999996</v>
      </c>
      <c r="AF34">
        <v>-1.352106</v>
      </c>
      <c r="AG34">
        <v>-0.1999272</v>
      </c>
      <c r="AH34">
        <v>-1.235161</v>
      </c>
      <c r="AI34">
        <v>-2.306006</v>
      </c>
      <c r="AJ34">
        <v>-1.348209</v>
      </c>
      <c r="AK34">
        <v>-2.0831499999999998</v>
      </c>
      <c r="AL34">
        <v>-0.88214780000000004</v>
      </c>
      <c r="AM34">
        <v>-0.6762608</v>
      </c>
      <c r="AN34">
        <v>-0.36157250000000002</v>
      </c>
      <c r="AO34">
        <v>7.2375970000000001</v>
      </c>
      <c r="AP34">
        <v>21.252770000000002</v>
      </c>
      <c r="AQ34">
        <v>21.730229999999999</v>
      </c>
      <c r="AR34">
        <v>20.52732</v>
      </c>
      <c r="AS34">
        <v>25.660209999999999</v>
      </c>
      <c r="AT34">
        <v>24.586379999999998</v>
      </c>
      <c r="AU34">
        <v>22.761759999999999</v>
      </c>
      <c r="AV34">
        <v>22.99644</v>
      </c>
      <c r="AW34">
        <v>22.857150000000001</v>
      </c>
      <c r="AX34">
        <v>12.23203</v>
      </c>
      <c r="AY34">
        <v>4.90334</v>
      </c>
      <c r="AZ34">
        <v>2.3790719999999999</v>
      </c>
      <c r="BA34">
        <v>3.1445780000000001</v>
      </c>
      <c r="BB34">
        <v>5.8433140000000003</v>
      </c>
      <c r="BC34">
        <v>-0.3191271</v>
      </c>
      <c r="BD34">
        <v>-0.86672879999999997</v>
      </c>
      <c r="BE34">
        <v>0.18953110000000001</v>
      </c>
      <c r="BF34">
        <v>-0.84833899999999995</v>
      </c>
      <c r="BG34">
        <v>-1.858859</v>
      </c>
      <c r="BH34">
        <v>-0.9304692</v>
      </c>
      <c r="BI34">
        <v>-1.603415</v>
      </c>
      <c r="BJ34">
        <v>-0.4250256</v>
      </c>
      <c r="BK34">
        <v>-0.2130097</v>
      </c>
      <c r="BL34">
        <v>0.13444410000000001</v>
      </c>
      <c r="BM34">
        <v>7.7633679999999998</v>
      </c>
      <c r="BN34">
        <v>21.859960000000001</v>
      </c>
      <c r="BO34">
        <v>22.386420000000001</v>
      </c>
      <c r="BP34">
        <v>21.18826</v>
      </c>
      <c r="BQ34">
        <v>26.344159999999999</v>
      </c>
      <c r="BR34">
        <v>25.278379999999999</v>
      </c>
      <c r="BS34">
        <v>23.508089999999999</v>
      </c>
      <c r="BT34">
        <v>23.769639999999999</v>
      </c>
      <c r="BU34">
        <v>23.60849</v>
      </c>
      <c r="BV34">
        <v>12.97261</v>
      </c>
      <c r="BW34">
        <v>5.6353160000000004</v>
      </c>
      <c r="BX34">
        <v>3.1712760000000002</v>
      </c>
      <c r="BY34">
        <v>3.9931939999999999</v>
      </c>
      <c r="BZ34">
        <v>6.3131810000000002</v>
      </c>
      <c r="CA34">
        <v>7.4710899999999997E-2</v>
      </c>
      <c r="CB34">
        <v>-0.53055770000000002</v>
      </c>
      <c r="CC34">
        <v>0.45926869999999997</v>
      </c>
      <c r="CD34">
        <v>-0.58042760000000004</v>
      </c>
      <c r="CE34">
        <v>-1.549166</v>
      </c>
      <c r="CF34">
        <v>-0.64114360000000004</v>
      </c>
      <c r="CG34">
        <v>-1.2711520000000001</v>
      </c>
      <c r="CH34">
        <v>-0.1084241</v>
      </c>
      <c r="CI34">
        <v>0.1078366</v>
      </c>
      <c r="CJ34">
        <v>0.47798370000000001</v>
      </c>
      <c r="CK34">
        <v>8.127516</v>
      </c>
      <c r="CL34">
        <v>22.2805</v>
      </c>
      <c r="CM34">
        <v>22.840890000000002</v>
      </c>
      <c r="CN34">
        <v>21.64602</v>
      </c>
      <c r="CO34">
        <v>26.81786</v>
      </c>
      <c r="CP34">
        <v>25.757660000000001</v>
      </c>
      <c r="CQ34">
        <v>24.024999999999999</v>
      </c>
      <c r="CR34">
        <v>24.305150000000001</v>
      </c>
      <c r="CS34">
        <v>24.12886</v>
      </c>
      <c r="CT34">
        <v>13.48554</v>
      </c>
      <c r="CU34">
        <v>6.1422800000000004</v>
      </c>
      <c r="CV34">
        <v>3.7199529999999998</v>
      </c>
      <c r="CW34">
        <v>4.5809430000000004</v>
      </c>
      <c r="CX34">
        <v>6.7830490000000001</v>
      </c>
      <c r="CY34">
        <v>0.46854879999999999</v>
      </c>
      <c r="CZ34">
        <v>-0.19438659999999999</v>
      </c>
      <c r="DA34">
        <v>0.7290063</v>
      </c>
      <c r="DB34">
        <v>-0.31251610000000002</v>
      </c>
      <c r="DC34">
        <v>-1.239473</v>
      </c>
      <c r="DD34">
        <v>-0.35181810000000002</v>
      </c>
      <c r="DE34">
        <v>-0.93888879999999997</v>
      </c>
      <c r="DF34">
        <v>0.20817740000000001</v>
      </c>
      <c r="DG34">
        <v>0.42868299999999998</v>
      </c>
      <c r="DH34">
        <v>0.82152320000000001</v>
      </c>
      <c r="DI34">
        <v>8.4916630000000008</v>
      </c>
      <c r="DJ34">
        <v>22.701029999999999</v>
      </c>
      <c r="DK34">
        <v>23.295359999999999</v>
      </c>
      <c r="DL34">
        <v>22.10378</v>
      </c>
      <c r="DM34">
        <v>27.29156</v>
      </c>
      <c r="DN34">
        <v>26.236940000000001</v>
      </c>
      <c r="DO34">
        <v>24.541899999999998</v>
      </c>
      <c r="DP34">
        <v>24.840669999999999</v>
      </c>
      <c r="DQ34">
        <v>24.649239999999999</v>
      </c>
      <c r="DR34">
        <v>13.99846</v>
      </c>
      <c r="DS34">
        <v>6.6492440000000004</v>
      </c>
      <c r="DT34">
        <v>4.2686310000000001</v>
      </c>
      <c r="DU34">
        <v>5.1686920000000001</v>
      </c>
      <c r="DV34">
        <v>7.4614640000000003</v>
      </c>
      <c r="DW34">
        <v>1.037188</v>
      </c>
      <c r="DX34">
        <v>0.2909911</v>
      </c>
      <c r="DY34">
        <v>1.1184639999999999</v>
      </c>
      <c r="DZ34">
        <v>7.4305399999999994E-2</v>
      </c>
      <c r="EA34">
        <v>-0.79232610000000003</v>
      </c>
      <c r="EB34">
        <v>6.5922099999999997E-2</v>
      </c>
      <c r="EC34">
        <v>-0.4591538</v>
      </c>
      <c r="ED34">
        <v>0.66529970000000005</v>
      </c>
      <c r="EE34">
        <v>0.89193420000000001</v>
      </c>
      <c r="EF34">
        <v>1.3175399999999999</v>
      </c>
      <c r="EG34">
        <v>9.0174350000000008</v>
      </c>
      <c r="EH34">
        <v>23.308219999999999</v>
      </c>
      <c r="EI34">
        <v>23.951550000000001</v>
      </c>
      <c r="EJ34">
        <v>22.764720000000001</v>
      </c>
      <c r="EK34">
        <v>27.9755</v>
      </c>
      <c r="EL34">
        <v>26.928940000000001</v>
      </c>
      <c r="EM34">
        <v>25.288229999999999</v>
      </c>
      <c r="EN34">
        <v>25.613859999999999</v>
      </c>
      <c r="EO34">
        <v>25.400569999999998</v>
      </c>
      <c r="EP34">
        <v>14.739050000000001</v>
      </c>
      <c r="EQ34">
        <v>7.3812199999999999</v>
      </c>
      <c r="ER34">
        <v>5.0608339999999998</v>
      </c>
      <c r="ES34">
        <v>6.0173079999999999</v>
      </c>
      <c r="ET34">
        <v>71.229709999999997</v>
      </c>
      <c r="EU34">
        <v>69.825469999999996</v>
      </c>
      <c r="EV34">
        <v>68.909760000000006</v>
      </c>
      <c r="EW34">
        <v>68.171490000000006</v>
      </c>
      <c r="EX34">
        <v>67.11985</v>
      </c>
      <c r="EY34">
        <v>66.574879999999993</v>
      </c>
      <c r="EZ34">
        <v>66.187839999999994</v>
      </c>
      <c r="FA34">
        <v>67.060149999999993</v>
      </c>
      <c r="FB34">
        <v>68.955879999999993</v>
      </c>
      <c r="FC34">
        <v>72.094570000000004</v>
      </c>
      <c r="FD34">
        <v>75.281189999999995</v>
      </c>
      <c r="FE34">
        <v>78.26146</v>
      </c>
      <c r="FF34">
        <v>81.238240000000005</v>
      </c>
      <c r="FG34">
        <v>83.208690000000004</v>
      </c>
      <c r="FH34">
        <v>84.687780000000004</v>
      </c>
      <c r="FI34">
        <v>86.348889999999997</v>
      </c>
      <c r="FJ34">
        <v>86.482820000000004</v>
      </c>
      <c r="FK34">
        <v>85.857089999999999</v>
      </c>
      <c r="FL34">
        <v>84.634860000000003</v>
      </c>
      <c r="FM34">
        <v>81.732740000000007</v>
      </c>
      <c r="FN34">
        <v>77.630679999999998</v>
      </c>
      <c r="FO34">
        <v>75.023929999999993</v>
      </c>
      <c r="FP34">
        <v>72.808269999999993</v>
      </c>
      <c r="FQ34">
        <v>70.85857</v>
      </c>
      <c r="FR34">
        <v>1</v>
      </c>
      <c r="FT34" s="44"/>
    </row>
    <row r="35" spans="1:176" x14ac:dyDescent="0.2">
      <c r="A35" t="s">
        <v>1</v>
      </c>
      <c r="B35" t="s">
        <v>1</v>
      </c>
      <c r="C35" s="70">
        <v>41851</v>
      </c>
      <c r="D35">
        <v>68</v>
      </c>
      <c r="E35" s="70">
        <v>863</v>
      </c>
      <c r="F35">
        <v>586.45420000000001</v>
      </c>
      <c r="G35">
        <v>575.97550000000001</v>
      </c>
      <c r="H35">
        <v>567.42359999999996</v>
      </c>
      <c r="I35">
        <v>565.6481</v>
      </c>
      <c r="J35">
        <v>576.09810000000004</v>
      </c>
      <c r="K35">
        <v>596.99620000000004</v>
      </c>
      <c r="L35">
        <v>628.41449999999998</v>
      </c>
      <c r="M35">
        <v>650.48879999999997</v>
      </c>
      <c r="N35">
        <v>668.28359999999998</v>
      </c>
      <c r="O35">
        <v>681.39930000000004</v>
      </c>
      <c r="P35">
        <v>687.52189999999996</v>
      </c>
      <c r="Q35">
        <v>696.54309999999998</v>
      </c>
      <c r="R35">
        <v>695.01859999999999</v>
      </c>
      <c r="S35">
        <v>701.35360000000003</v>
      </c>
      <c r="T35">
        <v>700.32479999999998</v>
      </c>
      <c r="U35">
        <v>689.63400000000001</v>
      </c>
      <c r="V35">
        <v>681.58</v>
      </c>
      <c r="W35">
        <v>666.67600000000004</v>
      </c>
      <c r="X35">
        <v>654.04309999999998</v>
      </c>
      <c r="Y35">
        <v>641.42409999999995</v>
      </c>
      <c r="Z35">
        <v>631.59609999999998</v>
      </c>
      <c r="AA35">
        <v>623.27909999999997</v>
      </c>
      <c r="AB35">
        <v>610.03250000000003</v>
      </c>
      <c r="AC35">
        <v>596.13300000000004</v>
      </c>
      <c r="AD35">
        <v>-0.43313790000000002</v>
      </c>
      <c r="AE35">
        <v>-1.615375</v>
      </c>
      <c r="AF35">
        <v>-2.3350010000000001</v>
      </c>
      <c r="AG35">
        <v>-2.1069909999999998</v>
      </c>
      <c r="AH35">
        <v>-3.9575279999999999</v>
      </c>
      <c r="AI35">
        <v>-3.9853529999999999</v>
      </c>
      <c r="AJ35">
        <v>-2.4318930000000001</v>
      </c>
      <c r="AK35">
        <v>-1.302711</v>
      </c>
      <c r="AL35">
        <v>0.84731330000000005</v>
      </c>
      <c r="AM35">
        <v>1.1727019999999999</v>
      </c>
      <c r="AN35">
        <v>5.6058999999999998E-2</v>
      </c>
      <c r="AO35">
        <v>6.266464</v>
      </c>
      <c r="AP35">
        <v>29.92445</v>
      </c>
      <c r="AQ35">
        <v>28.827249999999999</v>
      </c>
      <c r="AR35">
        <v>23.369869999999999</v>
      </c>
      <c r="AS35">
        <v>27.799330000000001</v>
      </c>
      <c r="AT35">
        <v>30.198319999999999</v>
      </c>
      <c r="AU35">
        <v>22.590199999999999</v>
      </c>
      <c r="AV35">
        <v>16.613800000000001</v>
      </c>
      <c r="AW35">
        <v>20.106280000000002</v>
      </c>
      <c r="AX35">
        <v>15.104189999999999</v>
      </c>
      <c r="AY35">
        <v>13.09836</v>
      </c>
      <c r="AZ35">
        <v>10.6073</v>
      </c>
      <c r="BA35">
        <v>7.3218940000000003</v>
      </c>
      <c r="BB35">
        <v>0.1007361</v>
      </c>
      <c r="BC35">
        <v>-1.168191</v>
      </c>
      <c r="BD35">
        <v>-1.9217519999999999</v>
      </c>
      <c r="BE35">
        <v>-1.7445930000000001</v>
      </c>
      <c r="BF35">
        <v>-3.6087090000000002</v>
      </c>
      <c r="BG35">
        <v>-3.5944600000000002</v>
      </c>
      <c r="BH35">
        <v>-2.0829680000000002</v>
      </c>
      <c r="BI35">
        <v>-0.88184059999999997</v>
      </c>
      <c r="BJ35">
        <v>1.234955</v>
      </c>
      <c r="BK35">
        <v>1.5753710000000001</v>
      </c>
      <c r="BL35">
        <v>0.50257960000000002</v>
      </c>
      <c r="BM35">
        <v>6.7596350000000003</v>
      </c>
      <c r="BN35">
        <v>30.508939999999999</v>
      </c>
      <c r="BO35">
        <v>29.456469999999999</v>
      </c>
      <c r="BP35">
        <v>23.996449999999999</v>
      </c>
      <c r="BQ35">
        <v>28.469049999999999</v>
      </c>
      <c r="BR35">
        <v>30.893329999999999</v>
      </c>
      <c r="BS35">
        <v>23.402840000000001</v>
      </c>
      <c r="BT35">
        <v>17.488959999999999</v>
      </c>
      <c r="BU35">
        <v>20.926659999999998</v>
      </c>
      <c r="BV35">
        <v>15.885960000000001</v>
      </c>
      <c r="BW35">
        <v>13.840490000000001</v>
      </c>
      <c r="BX35">
        <v>11.29166</v>
      </c>
      <c r="BY35">
        <v>8.0077379999999998</v>
      </c>
      <c r="BZ35">
        <v>0.47049560000000001</v>
      </c>
      <c r="CA35">
        <v>-0.85847340000000005</v>
      </c>
      <c r="CB35">
        <v>-1.6355360000000001</v>
      </c>
      <c r="CC35">
        <v>-1.4935959999999999</v>
      </c>
      <c r="CD35">
        <v>-3.3671180000000001</v>
      </c>
      <c r="CE35">
        <v>-3.323728</v>
      </c>
      <c r="CF35">
        <v>-1.8413029999999999</v>
      </c>
      <c r="CG35">
        <v>-0.59034690000000001</v>
      </c>
      <c r="CH35">
        <v>1.5034350000000001</v>
      </c>
      <c r="CI35">
        <v>1.8542590000000001</v>
      </c>
      <c r="CJ35">
        <v>0.81183850000000002</v>
      </c>
      <c r="CK35">
        <v>7.1012040000000001</v>
      </c>
      <c r="CL35">
        <v>30.91376</v>
      </c>
      <c r="CM35">
        <v>29.89227</v>
      </c>
      <c r="CN35">
        <v>24.430409999999998</v>
      </c>
      <c r="CO35">
        <v>28.9329</v>
      </c>
      <c r="CP35">
        <v>31.374690000000001</v>
      </c>
      <c r="CQ35">
        <v>23.965669999999999</v>
      </c>
      <c r="CR35">
        <v>18.095089999999999</v>
      </c>
      <c r="CS35">
        <v>21.494859999999999</v>
      </c>
      <c r="CT35">
        <v>16.427409999999998</v>
      </c>
      <c r="CU35">
        <v>14.35449</v>
      </c>
      <c r="CV35">
        <v>11.765639999999999</v>
      </c>
      <c r="CW35">
        <v>8.4827510000000004</v>
      </c>
      <c r="CX35">
        <v>0.84025499999999997</v>
      </c>
      <c r="CY35">
        <v>-0.54875529999999995</v>
      </c>
      <c r="CZ35">
        <v>-1.349321</v>
      </c>
      <c r="DA35">
        <v>-1.2425999999999999</v>
      </c>
      <c r="DB35">
        <v>-3.1255259999999998</v>
      </c>
      <c r="DC35">
        <v>-3.052997</v>
      </c>
      <c r="DD35">
        <v>-1.5996379999999999</v>
      </c>
      <c r="DE35">
        <v>-0.29885319999999999</v>
      </c>
      <c r="DF35">
        <v>1.771914</v>
      </c>
      <c r="DG35">
        <v>2.133146</v>
      </c>
      <c r="DH35">
        <v>1.121097</v>
      </c>
      <c r="DI35">
        <v>7.4427729999999999</v>
      </c>
      <c r="DJ35">
        <v>31.318580000000001</v>
      </c>
      <c r="DK35">
        <v>30.328060000000001</v>
      </c>
      <c r="DL35">
        <v>24.864370000000001</v>
      </c>
      <c r="DM35">
        <v>29.396740000000001</v>
      </c>
      <c r="DN35">
        <v>31.85604</v>
      </c>
      <c r="DO35">
        <v>24.528510000000001</v>
      </c>
      <c r="DP35">
        <v>18.701229999999999</v>
      </c>
      <c r="DQ35">
        <v>22.06305</v>
      </c>
      <c r="DR35">
        <v>16.968859999999999</v>
      </c>
      <c r="DS35">
        <v>14.86849</v>
      </c>
      <c r="DT35">
        <v>12.23962</v>
      </c>
      <c r="DU35">
        <v>8.9577639999999992</v>
      </c>
      <c r="DV35">
        <v>1.3741289999999999</v>
      </c>
      <c r="DW35">
        <v>-0.1015716</v>
      </c>
      <c r="DX35">
        <v>-0.93607200000000002</v>
      </c>
      <c r="DY35">
        <v>-0.88020129999999996</v>
      </c>
      <c r="DZ35">
        <v>-2.776707</v>
      </c>
      <c r="EA35">
        <v>-2.6621030000000001</v>
      </c>
      <c r="EB35">
        <v>-1.250713</v>
      </c>
      <c r="EC35">
        <v>0.1220174</v>
      </c>
      <c r="ED35">
        <v>2.1595559999999998</v>
      </c>
      <c r="EE35">
        <v>2.5358149999999999</v>
      </c>
      <c r="EF35">
        <v>1.567618</v>
      </c>
      <c r="EG35">
        <v>7.9359440000000001</v>
      </c>
      <c r="EH35">
        <v>31.90307</v>
      </c>
      <c r="EI35">
        <v>30.957280000000001</v>
      </c>
      <c r="EJ35">
        <v>25.490950000000002</v>
      </c>
      <c r="EK35">
        <v>30.066459999999999</v>
      </c>
      <c r="EL35">
        <v>32.551049999999996</v>
      </c>
      <c r="EM35">
        <v>25.341149999999999</v>
      </c>
      <c r="EN35">
        <v>19.57639</v>
      </c>
      <c r="EO35">
        <v>22.883430000000001</v>
      </c>
      <c r="EP35">
        <v>17.750630000000001</v>
      </c>
      <c r="EQ35">
        <v>15.610609999999999</v>
      </c>
      <c r="ER35">
        <v>12.92398</v>
      </c>
      <c r="ES35">
        <v>9.6436080000000004</v>
      </c>
      <c r="ET35">
        <v>69.637569999999997</v>
      </c>
      <c r="EU35">
        <v>68.809290000000004</v>
      </c>
      <c r="EV35">
        <v>67.870990000000006</v>
      </c>
      <c r="EW35">
        <v>66.808449999999993</v>
      </c>
      <c r="EX35">
        <v>66.473140000000001</v>
      </c>
      <c r="EY35">
        <v>65.90128</v>
      </c>
      <c r="EZ35">
        <v>65.657550000000001</v>
      </c>
      <c r="FA35">
        <v>66.756020000000007</v>
      </c>
      <c r="FB35">
        <v>68.624939999999995</v>
      </c>
      <c r="FC35">
        <v>71.371960000000001</v>
      </c>
      <c r="FD35">
        <v>74.459490000000002</v>
      </c>
      <c r="FE35">
        <v>77.853390000000005</v>
      </c>
      <c r="FF35">
        <v>81.223860000000002</v>
      </c>
      <c r="FG35">
        <v>83.906000000000006</v>
      </c>
      <c r="FH35">
        <v>85.360730000000004</v>
      </c>
      <c r="FI35">
        <v>86.906530000000004</v>
      </c>
      <c r="FJ35">
        <v>87.578670000000002</v>
      </c>
      <c r="FK35">
        <v>87.102010000000007</v>
      </c>
      <c r="FL35">
        <v>85.40025</v>
      </c>
      <c r="FM35">
        <v>82.343149999999994</v>
      </c>
      <c r="FN35">
        <v>78.872699999999995</v>
      </c>
      <c r="FO35">
        <v>76.104560000000006</v>
      </c>
      <c r="FP35">
        <v>73.991100000000003</v>
      </c>
      <c r="FQ35">
        <v>72.396039999999999</v>
      </c>
      <c r="FR35">
        <v>1</v>
      </c>
      <c r="FT35" s="44"/>
    </row>
    <row r="36" spans="1:176" x14ac:dyDescent="0.2">
      <c r="A36" t="s">
        <v>1</v>
      </c>
      <c r="B36" t="s">
        <v>1</v>
      </c>
      <c r="C36" s="70">
        <v>41852</v>
      </c>
      <c r="D36">
        <v>0</v>
      </c>
      <c r="E36" s="70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T36" s="44"/>
    </row>
    <row r="37" spans="1:176" x14ac:dyDescent="0.2">
      <c r="A37" t="s">
        <v>1</v>
      </c>
      <c r="B37" t="s">
        <v>1</v>
      </c>
      <c r="C37" s="70">
        <v>41894</v>
      </c>
      <c r="D37">
        <v>0</v>
      </c>
      <c r="E37" s="70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T37" s="44"/>
    </row>
    <row r="38" spans="1:176" x14ac:dyDescent="0.2">
      <c r="A38" t="s">
        <v>1</v>
      </c>
      <c r="B38" t="s">
        <v>1</v>
      </c>
      <c r="C38" s="70">
        <v>41897</v>
      </c>
      <c r="D38">
        <v>0</v>
      </c>
      <c r="E38" s="70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T38" s="44"/>
    </row>
    <row r="39" spans="1:176" x14ac:dyDescent="0.2">
      <c r="A39" t="s">
        <v>1</v>
      </c>
      <c r="B39" t="s">
        <v>1</v>
      </c>
      <c r="C39" s="70">
        <v>41898</v>
      </c>
      <c r="D39">
        <v>60</v>
      </c>
      <c r="E39" s="70">
        <v>779</v>
      </c>
      <c r="F39">
        <v>536.67819999999995</v>
      </c>
      <c r="G39">
        <v>530.40099999999995</v>
      </c>
      <c r="H39">
        <v>520.97019999999998</v>
      </c>
      <c r="I39">
        <v>520.18589999999995</v>
      </c>
      <c r="J39">
        <v>526.81799999999998</v>
      </c>
      <c r="K39">
        <v>538.94489999999996</v>
      </c>
      <c r="L39">
        <v>570.95150000000001</v>
      </c>
      <c r="M39">
        <v>584.95540000000005</v>
      </c>
      <c r="N39">
        <v>604.75400000000002</v>
      </c>
      <c r="O39">
        <v>627.8329</v>
      </c>
      <c r="P39">
        <v>627.053</v>
      </c>
      <c r="Q39">
        <v>637.54280000000006</v>
      </c>
      <c r="R39">
        <v>635.65300000000002</v>
      </c>
      <c r="S39">
        <v>643.2405</v>
      </c>
      <c r="T39">
        <v>644.81529999999998</v>
      </c>
      <c r="U39">
        <v>635.95450000000005</v>
      </c>
      <c r="V39">
        <v>628.66780000000006</v>
      </c>
      <c r="W39">
        <v>617.68230000000005</v>
      </c>
      <c r="X39">
        <v>605.09100000000001</v>
      </c>
      <c r="Y39">
        <v>598.7758</v>
      </c>
      <c r="Z39">
        <v>590.73249999999996</v>
      </c>
      <c r="AA39">
        <v>579.33169999999996</v>
      </c>
      <c r="AB39">
        <v>568.33870000000002</v>
      </c>
      <c r="AC39">
        <v>554.36369999999999</v>
      </c>
      <c r="AD39">
        <v>-1.337046</v>
      </c>
      <c r="AE39">
        <v>0.15671350000000001</v>
      </c>
      <c r="AF39">
        <v>1.1541170000000001</v>
      </c>
      <c r="AG39">
        <v>0.90025069999999996</v>
      </c>
      <c r="AH39">
        <v>-1.948466</v>
      </c>
      <c r="AI39">
        <v>-1.6153310000000001</v>
      </c>
      <c r="AJ39">
        <v>-1.1532450000000001</v>
      </c>
      <c r="AK39">
        <v>0.59100439999999999</v>
      </c>
      <c r="AL39">
        <v>10.83952</v>
      </c>
      <c r="AM39">
        <v>16.035299999999999</v>
      </c>
      <c r="AN39">
        <v>16.007919999999999</v>
      </c>
      <c r="AO39">
        <v>19.207370000000001</v>
      </c>
      <c r="AP39">
        <v>26.160499999999999</v>
      </c>
      <c r="AQ39">
        <v>26.997050000000002</v>
      </c>
      <c r="AR39">
        <v>29.24615</v>
      </c>
      <c r="AS39">
        <v>30.013069999999999</v>
      </c>
      <c r="AT39">
        <v>30.124980000000001</v>
      </c>
      <c r="AU39">
        <v>26.809059999999999</v>
      </c>
      <c r="AV39">
        <v>22.13542</v>
      </c>
      <c r="AW39">
        <v>17.085830000000001</v>
      </c>
      <c r="AX39">
        <v>7.7570160000000001</v>
      </c>
      <c r="AY39">
        <v>6.05199</v>
      </c>
      <c r="AZ39">
        <v>2.042354</v>
      </c>
      <c r="BA39">
        <v>2.8374130000000002</v>
      </c>
      <c r="BB39">
        <v>-0.76692519999999997</v>
      </c>
      <c r="BC39">
        <v>0.78301299999999996</v>
      </c>
      <c r="BD39">
        <v>1.614425</v>
      </c>
      <c r="BE39">
        <v>1.2067650000000001</v>
      </c>
      <c r="BF39">
        <v>-1.284203</v>
      </c>
      <c r="BG39">
        <v>-0.90576500000000004</v>
      </c>
      <c r="BH39">
        <v>-0.42668899999999998</v>
      </c>
      <c r="BI39">
        <v>1.123615</v>
      </c>
      <c r="BJ39">
        <v>11.381080000000001</v>
      </c>
      <c r="BK39">
        <v>16.606290000000001</v>
      </c>
      <c r="BL39">
        <v>16.607510000000001</v>
      </c>
      <c r="BM39">
        <v>19.738759999999999</v>
      </c>
      <c r="BN39">
        <v>26.652059999999999</v>
      </c>
      <c r="BO39">
        <v>27.426159999999999</v>
      </c>
      <c r="BP39">
        <v>29.63073</v>
      </c>
      <c r="BQ39">
        <v>30.410699999999999</v>
      </c>
      <c r="BR39">
        <v>30.54167</v>
      </c>
      <c r="BS39">
        <v>27.224440000000001</v>
      </c>
      <c r="BT39">
        <v>22.58756</v>
      </c>
      <c r="BU39">
        <v>17.58062</v>
      </c>
      <c r="BV39">
        <v>8.2710260000000009</v>
      </c>
      <c r="BW39">
        <v>6.5268969999999999</v>
      </c>
      <c r="BX39">
        <v>2.4945919999999999</v>
      </c>
      <c r="BY39">
        <v>3.2498239999999998</v>
      </c>
      <c r="BZ39">
        <v>-0.37206139999999999</v>
      </c>
      <c r="CA39">
        <v>1.2167859999999999</v>
      </c>
      <c r="CB39">
        <v>1.9332339999999999</v>
      </c>
      <c r="CC39">
        <v>1.4190560000000001</v>
      </c>
      <c r="CD39">
        <v>-0.8241366</v>
      </c>
      <c r="CE39">
        <v>-0.41432190000000002</v>
      </c>
      <c r="CF39">
        <v>7.6521599999999995E-2</v>
      </c>
      <c r="CG39">
        <v>1.492499</v>
      </c>
      <c r="CH39">
        <v>11.756159999999999</v>
      </c>
      <c r="CI39">
        <v>17.001760000000001</v>
      </c>
      <c r="CJ39">
        <v>17.022790000000001</v>
      </c>
      <c r="CK39">
        <v>20.1068</v>
      </c>
      <c r="CL39">
        <v>26.992509999999999</v>
      </c>
      <c r="CM39">
        <v>27.723369999999999</v>
      </c>
      <c r="CN39">
        <v>29.897089999999999</v>
      </c>
      <c r="CO39">
        <v>30.6861</v>
      </c>
      <c r="CP39">
        <v>30.830269999999999</v>
      </c>
      <c r="CQ39">
        <v>27.512129999999999</v>
      </c>
      <c r="CR39">
        <v>22.90071</v>
      </c>
      <c r="CS39">
        <v>17.923310000000001</v>
      </c>
      <c r="CT39">
        <v>8.627027</v>
      </c>
      <c r="CU39">
        <v>6.8558159999999999</v>
      </c>
      <c r="CV39">
        <v>2.8078110000000001</v>
      </c>
      <c r="CW39">
        <v>3.5354589999999999</v>
      </c>
      <c r="CX39">
        <v>2.2802300000000001E-2</v>
      </c>
      <c r="CY39">
        <v>1.6505590000000001</v>
      </c>
      <c r="CZ39">
        <v>2.2520419999999999</v>
      </c>
      <c r="DA39">
        <v>1.6313470000000001</v>
      </c>
      <c r="DB39">
        <v>-0.36407020000000001</v>
      </c>
      <c r="DC39">
        <v>7.7121200000000001E-2</v>
      </c>
      <c r="DD39">
        <v>0.57973220000000003</v>
      </c>
      <c r="DE39">
        <v>1.861383</v>
      </c>
      <c r="DF39">
        <v>12.13124</v>
      </c>
      <c r="DG39">
        <v>17.39723</v>
      </c>
      <c r="DH39">
        <v>17.43806</v>
      </c>
      <c r="DI39">
        <v>20.47484</v>
      </c>
      <c r="DJ39">
        <v>27.33296</v>
      </c>
      <c r="DK39">
        <v>28.020569999999999</v>
      </c>
      <c r="DL39">
        <v>30.163440000000001</v>
      </c>
      <c r="DM39">
        <v>30.961500000000001</v>
      </c>
      <c r="DN39">
        <v>31.118870000000001</v>
      </c>
      <c r="DO39">
        <v>27.799810000000001</v>
      </c>
      <c r="DP39">
        <v>23.21386</v>
      </c>
      <c r="DQ39">
        <v>18.265989999999999</v>
      </c>
      <c r="DR39">
        <v>8.9830269999999999</v>
      </c>
      <c r="DS39">
        <v>7.184736</v>
      </c>
      <c r="DT39">
        <v>3.1210290000000001</v>
      </c>
      <c r="DU39">
        <v>3.8210929999999999</v>
      </c>
      <c r="DV39">
        <v>0.59292290000000003</v>
      </c>
      <c r="DW39">
        <v>2.276859</v>
      </c>
      <c r="DX39">
        <v>2.712351</v>
      </c>
      <c r="DY39">
        <v>1.937862</v>
      </c>
      <c r="DZ39">
        <v>0.30019249999999997</v>
      </c>
      <c r="EA39">
        <v>0.78668700000000003</v>
      </c>
      <c r="EB39">
        <v>1.3062879999999999</v>
      </c>
      <c r="EC39">
        <v>2.393993</v>
      </c>
      <c r="ED39">
        <v>12.672800000000001</v>
      </c>
      <c r="EE39">
        <v>17.968219999999999</v>
      </c>
      <c r="EF39">
        <v>18.037659999999999</v>
      </c>
      <c r="EG39">
        <v>21.006229999999999</v>
      </c>
      <c r="EH39">
        <v>27.82452</v>
      </c>
      <c r="EI39">
        <v>28.44969</v>
      </c>
      <c r="EJ39">
        <v>30.548020000000001</v>
      </c>
      <c r="EK39">
        <v>31.35914</v>
      </c>
      <c r="EL39">
        <v>31.53556</v>
      </c>
      <c r="EM39">
        <v>28.21519</v>
      </c>
      <c r="EN39">
        <v>23.665990000000001</v>
      </c>
      <c r="EO39">
        <v>18.76078</v>
      </c>
      <c r="EP39">
        <v>9.4970370000000006</v>
      </c>
      <c r="EQ39">
        <v>7.659643</v>
      </c>
      <c r="ER39">
        <v>3.573267</v>
      </c>
      <c r="ES39">
        <v>4.2335039999999999</v>
      </c>
      <c r="ET39">
        <v>67.317629999999994</v>
      </c>
      <c r="EU39">
        <v>66.157799999999995</v>
      </c>
      <c r="EV39">
        <v>64.859849999999994</v>
      </c>
      <c r="EW39">
        <v>63.7517</v>
      </c>
      <c r="EX39">
        <v>62.829320000000003</v>
      </c>
      <c r="EY39">
        <v>62.035580000000003</v>
      </c>
      <c r="EZ39">
        <v>61.189990000000002</v>
      </c>
      <c r="FA39">
        <v>61.683439999999997</v>
      </c>
      <c r="FB39">
        <v>65.226600000000005</v>
      </c>
      <c r="FC39">
        <v>68.738609999999994</v>
      </c>
      <c r="FD39">
        <v>72.223839999999996</v>
      </c>
      <c r="FE39">
        <v>75.574749999999995</v>
      </c>
      <c r="FF39">
        <v>78.281850000000006</v>
      </c>
      <c r="FG39">
        <v>81.274019999999993</v>
      </c>
      <c r="FH39">
        <v>83.15307</v>
      </c>
      <c r="FI39">
        <v>83.645780000000002</v>
      </c>
      <c r="FJ39">
        <v>83.485659999999996</v>
      </c>
      <c r="FK39">
        <v>82.195650000000001</v>
      </c>
      <c r="FL39">
        <v>79.139809999999997</v>
      </c>
      <c r="FM39">
        <v>75.795000000000002</v>
      </c>
      <c r="FN39">
        <v>73.180760000000006</v>
      </c>
      <c r="FO39">
        <v>71.112610000000004</v>
      </c>
      <c r="FP39">
        <v>69.639690000000002</v>
      </c>
      <c r="FQ39">
        <v>68.678759999999997</v>
      </c>
      <c r="FR39">
        <v>1</v>
      </c>
      <c r="FT39" s="44"/>
    </row>
    <row r="40" spans="1:176" x14ac:dyDescent="0.2">
      <c r="A40" t="s">
        <v>1</v>
      </c>
      <c r="B40" t="s">
        <v>1</v>
      </c>
      <c r="C40" s="70" t="s">
        <v>2</v>
      </c>
      <c r="D40">
        <v>77.888890000000004</v>
      </c>
      <c r="E40" s="70">
        <v>846.44399999999996</v>
      </c>
      <c r="F40">
        <v>541.43889999999999</v>
      </c>
      <c r="G40">
        <v>534.80160000000001</v>
      </c>
      <c r="H40">
        <v>529.47739999999999</v>
      </c>
      <c r="I40">
        <v>530.03740000000005</v>
      </c>
      <c r="J40">
        <v>539.1816</v>
      </c>
      <c r="K40">
        <v>560.36030000000005</v>
      </c>
      <c r="L40">
        <v>591.55960000000005</v>
      </c>
      <c r="M40">
        <v>612.27660000000003</v>
      </c>
      <c r="N40">
        <v>631.46929999999998</v>
      </c>
      <c r="O40">
        <v>650.15409999999997</v>
      </c>
      <c r="P40">
        <v>659.71979999999996</v>
      </c>
      <c r="Q40">
        <v>669.33929999999998</v>
      </c>
      <c r="R40">
        <v>667.44820000000004</v>
      </c>
      <c r="S40">
        <v>673.30679999999995</v>
      </c>
      <c r="T40">
        <v>672.29420000000005</v>
      </c>
      <c r="U40">
        <v>659.495</v>
      </c>
      <c r="V40">
        <v>651.34749999999997</v>
      </c>
      <c r="W40">
        <v>637.31259999999997</v>
      </c>
      <c r="X40">
        <v>625.51099999999997</v>
      </c>
      <c r="Y40">
        <v>617.30489999999998</v>
      </c>
      <c r="Z40">
        <v>611.93470000000002</v>
      </c>
      <c r="AA40">
        <v>603.05489999999998</v>
      </c>
      <c r="AB40">
        <v>589.40890000000002</v>
      </c>
      <c r="AC40">
        <v>575.39509999999996</v>
      </c>
      <c r="AD40">
        <v>0.22345999999999999</v>
      </c>
      <c r="AE40">
        <v>-1.039693</v>
      </c>
      <c r="AF40">
        <v>-0.98554220000000003</v>
      </c>
      <c r="AG40">
        <v>-0.8500065</v>
      </c>
      <c r="AH40">
        <v>-1.861332</v>
      </c>
      <c r="AI40">
        <v>-2.2111179999999999</v>
      </c>
      <c r="AJ40">
        <v>-1.759198</v>
      </c>
      <c r="AK40">
        <v>-0.91305289999999995</v>
      </c>
      <c r="AL40">
        <v>1.6316630000000001</v>
      </c>
      <c r="AM40">
        <v>2.0518830000000001</v>
      </c>
      <c r="AN40">
        <v>2.7348300000000001</v>
      </c>
      <c r="AO40">
        <v>8.3109769999999994</v>
      </c>
      <c r="AP40">
        <v>26.88176</v>
      </c>
      <c r="AQ40">
        <v>27.179030000000001</v>
      </c>
      <c r="AR40">
        <v>24.884650000000001</v>
      </c>
      <c r="AS40">
        <v>25.039760000000001</v>
      </c>
      <c r="AT40">
        <v>24.739370000000001</v>
      </c>
      <c r="AU40">
        <v>22.72625</v>
      </c>
      <c r="AV40">
        <v>20.082889999999999</v>
      </c>
      <c r="AW40">
        <v>18.3201</v>
      </c>
      <c r="AX40">
        <v>10.48138</v>
      </c>
      <c r="AY40">
        <v>5.054792</v>
      </c>
      <c r="AZ40">
        <v>3.7264719999999998</v>
      </c>
      <c r="BA40">
        <v>4.0837139999999996</v>
      </c>
      <c r="BB40">
        <v>0.85267820000000005</v>
      </c>
      <c r="BC40">
        <v>-0.51558939999999998</v>
      </c>
      <c r="BD40">
        <v>-0.55424370000000001</v>
      </c>
      <c r="BE40">
        <v>-0.44898979999999999</v>
      </c>
      <c r="BF40">
        <v>-1.447276</v>
      </c>
      <c r="BG40">
        <v>-1.7575860000000001</v>
      </c>
      <c r="BH40">
        <v>-1.294206</v>
      </c>
      <c r="BI40">
        <v>-0.42650850000000001</v>
      </c>
      <c r="BJ40">
        <v>2.1442809999999999</v>
      </c>
      <c r="BK40">
        <v>2.5724969999999998</v>
      </c>
      <c r="BL40">
        <v>3.303261</v>
      </c>
      <c r="BM40">
        <v>8.9172019999999996</v>
      </c>
      <c r="BN40">
        <v>27.580259999999999</v>
      </c>
      <c r="BO40">
        <v>27.90851</v>
      </c>
      <c r="BP40">
        <v>25.61185</v>
      </c>
      <c r="BQ40">
        <v>25.768419999999999</v>
      </c>
      <c r="BR40">
        <v>25.482119999999998</v>
      </c>
      <c r="BS40">
        <v>23.56324</v>
      </c>
      <c r="BT40">
        <v>20.931100000000001</v>
      </c>
      <c r="BU40">
        <v>19.149439999999998</v>
      </c>
      <c r="BV40">
        <v>11.32137</v>
      </c>
      <c r="BW40">
        <v>5.907286</v>
      </c>
      <c r="BX40">
        <v>4.5926720000000003</v>
      </c>
      <c r="BY40">
        <v>4.9450000000000003</v>
      </c>
      <c r="BZ40">
        <v>1.288473</v>
      </c>
      <c r="CA40">
        <v>-0.1525966</v>
      </c>
      <c r="CB40">
        <v>-0.25552770000000002</v>
      </c>
      <c r="CC40">
        <v>-0.17124700000000001</v>
      </c>
      <c r="CD40">
        <v>-1.1605019999999999</v>
      </c>
      <c r="CE40">
        <v>-1.4434720000000001</v>
      </c>
      <c r="CF40">
        <v>-0.97215430000000003</v>
      </c>
      <c r="CG40">
        <v>-8.9529300000000006E-2</v>
      </c>
      <c r="CH40">
        <v>2.4993189999999998</v>
      </c>
      <c r="CI40">
        <v>2.9330720000000001</v>
      </c>
      <c r="CJ40">
        <v>3.6969539999999999</v>
      </c>
      <c r="CK40">
        <v>9.3370709999999999</v>
      </c>
      <c r="CL40">
        <v>28.064050000000002</v>
      </c>
      <c r="CM40">
        <v>28.413740000000001</v>
      </c>
      <c r="CN40">
        <v>26.11551</v>
      </c>
      <c r="CO40">
        <v>26.27308</v>
      </c>
      <c r="CP40">
        <v>25.99654</v>
      </c>
      <c r="CQ40">
        <v>24.14293</v>
      </c>
      <c r="CR40">
        <v>21.518560000000001</v>
      </c>
      <c r="CS40">
        <v>19.723839999999999</v>
      </c>
      <c r="CT40">
        <v>11.90314</v>
      </c>
      <c r="CU40">
        <v>6.4977200000000002</v>
      </c>
      <c r="CV40">
        <v>5.1925999999999997</v>
      </c>
      <c r="CW40">
        <v>5.5415239999999999</v>
      </c>
      <c r="CX40">
        <v>1.7242679999999999</v>
      </c>
      <c r="CY40">
        <v>0.2103961</v>
      </c>
      <c r="CZ40">
        <v>4.3188299999999999E-2</v>
      </c>
      <c r="DA40">
        <v>0.1064959</v>
      </c>
      <c r="DB40">
        <v>-0.87372799999999995</v>
      </c>
      <c r="DC40">
        <v>-1.1293569999999999</v>
      </c>
      <c r="DD40">
        <v>-0.65010219999999996</v>
      </c>
      <c r="DE40">
        <v>0.2474499</v>
      </c>
      <c r="DF40">
        <v>2.8543569999999998</v>
      </c>
      <c r="DG40">
        <v>3.2936480000000001</v>
      </c>
      <c r="DH40">
        <v>4.0906469999999997</v>
      </c>
      <c r="DI40">
        <v>9.7569409999999994</v>
      </c>
      <c r="DJ40">
        <v>28.547830000000001</v>
      </c>
      <c r="DK40">
        <v>28.918980000000001</v>
      </c>
      <c r="DL40">
        <v>26.61917</v>
      </c>
      <c r="DM40">
        <v>26.777750000000001</v>
      </c>
      <c r="DN40">
        <v>26.51097</v>
      </c>
      <c r="DO40">
        <v>24.722629999999999</v>
      </c>
      <c r="DP40">
        <v>22.106020000000001</v>
      </c>
      <c r="DQ40">
        <v>20.29823</v>
      </c>
      <c r="DR40">
        <v>12.484909999999999</v>
      </c>
      <c r="DS40">
        <v>7.0881550000000004</v>
      </c>
      <c r="DT40">
        <v>5.7925269999999998</v>
      </c>
      <c r="DU40">
        <v>6.1380489999999996</v>
      </c>
      <c r="DV40">
        <v>2.3534860000000002</v>
      </c>
      <c r="DW40">
        <v>0.73450000000000004</v>
      </c>
      <c r="DX40">
        <v>0.47448669999999998</v>
      </c>
      <c r="DY40">
        <v>0.50751250000000003</v>
      </c>
      <c r="DZ40">
        <v>-0.45967180000000002</v>
      </c>
      <c r="EA40">
        <v>-0.67582569999999997</v>
      </c>
      <c r="EB40">
        <v>-0.1851102</v>
      </c>
      <c r="EC40">
        <v>0.73399429999999999</v>
      </c>
      <c r="ED40">
        <v>3.3669750000000001</v>
      </c>
      <c r="EE40">
        <v>3.8142610000000001</v>
      </c>
      <c r="EF40">
        <v>4.6590769999999999</v>
      </c>
      <c r="EG40">
        <v>10.36317</v>
      </c>
      <c r="EH40">
        <v>29.24634</v>
      </c>
      <c r="EI40">
        <v>29.64846</v>
      </c>
      <c r="EJ40">
        <v>27.34637</v>
      </c>
      <c r="EK40">
        <v>27.506409999999999</v>
      </c>
      <c r="EL40">
        <v>27.253710000000002</v>
      </c>
      <c r="EM40">
        <v>25.559619999999999</v>
      </c>
      <c r="EN40">
        <v>22.954229999999999</v>
      </c>
      <c r="EO40">
        <v>21.127569999999999</v>
      </c>
      <c r="EP40">
        <v>13.3249</v>
      </c>
      <c r="EQ40">
        <v>7.9406480000000004</v>
      </c>
      <c r="ER40">
        <v>6.6587269999999998</v>
      </c>
      <c r="ES40">
        <v>6.9993350000000003</v>
      </c>
      <c r="ET40">
        <v>69.553629999999998</v>
      </c>
      <c r="EU40">
        <v>68.420259999999999</v>
      </c>
      <c r="EV40">
        <v>67.452209999999994</v>
      </c>
      <c r="EW40">
        <v>66.519499999999994</v>
      </c>
      <c r="EX40">
        <v>65.733490000000003</v>
      </c>
      <c r="EY40">
        <v>65.095830000000007</v>
      </c>
      <c r="EZ40">
        <v>64.759379999999993</v>
      </c>
      <c r="FA40">
        <v>66.021910000000005</v>
      </c>
      <c r="FB40">
        <v>68.667150000000007</v>
      </c>
      <c r="FC40">
        <v>72.049580000000006</v>
      </c>
      <c r="FD40">
        <v>75.576580000000007</v>
      </c>
      <c r="FE40">
        <v>78.790660000000003</v>
      </c>
      <c r="FF40">
        <v>81.538679999999999</v>
      </c>
      <c r="FG40">
        <v>83.817949999999996</v>
      </c>
      <c r="FH40">
        <v>85.137420000000006</v>
      </c>
      <c r="FI40">
        <v>85.748270000000005</v>
      </c>
      <c r="FJ40">
        <v>85.792550000000006</v>
      </c>
      <c r="FK40">
        <v>85.168170000000003</v>
      </c>
      <c r="FL40">
        <v>83.111649999999997</v>
      </c>
      <c r="FM40">
        <v>80.073819999999998</v>
      </c>
      <c r="FN40">
        <v>76.807980000000001</v>
      </c>
      <c r="FO40">
        <v>74.197770000000006</v>
      </c>
      <c r="FP40">
        <v>72.357010000000002</v>
      </c>
      <c r="FQ40">
        <v>70.853989999999996</v>
      </c>
      <c r="FR40">
        <v>1</v>
      </c>
      <c r="FT40" s="44"/>
    </row>
    <row r="41" spans="1:176" x14ac:dyDescent="0.2">
      <c r="A41" t="s">
        <v>1</v>
      </c>
      <c r="B41" t="s">
        <v>203</v>
      </c>
      <c r="C41" s="70">
        <v>41773</v>
      </c>
      <c r="D41">
        <v>0</v>
      </c>
      <c r="E41" s="70">
        <v>23</v>
      </c>
      <c r="F41">
        <v>2.9003999999999999E-2</v>
      </c>
      <c r="G41">
        <v>2.9406000000000002E-2</v>
      </c>
      <c r="H41">
        <v>2.9508E-2</v>
      </c>
      <c r="I41">
        <v>2.9531999999999999E-2</v>
      </c>
      <c r="J41">
        <v>2.9579999999999999E-2</v>
      </c>
      <c r="K41">
        <v>2.5937999999999999E-2</v>
      </c>
      <c r="L41">
        <v>1.5959999999999998E-2</v>
      </c>
      <c r="M41">
        <v>1.6001999999999999E-2</v>
      </c>
      <c r="N41">
        <v>1.5882E-2</v>
      </c>
      <c r="O41">
        <v>1.5576E-2</v>
      </c>
      <c r="P41">
        <v>1.5258000000000001E-2</v>
      </c>
      <c r="Q41">
        <v>1.5306E-2</v>
      </c>
      <c r="R41">
        <v>1.5174E-2</v>
      </c>
      <c r="S41">
        <v>1.4832E-2</v>
      </c>
      <c r="T41">
        <v>1.4892000000000001E-2</v>
      </c>
      <c r="U41">
        <v>1.3872000000000001E-2</v>
      </c>
      <c r="V41">
        <v>1.2846E-2</v>
      </c>
      <c r="W41">
        <v>1.281E-2</v>
      </c>
      <c r="X41">
        <v>1.2762000000000001E-2</v>
      </c>
      <c r="Y41">
        <v>1.281E-2</v>
      </c>
      <c r="Z41">
        <v>2.1191999999999999E-2</v>
      </c>
      <c r="AA41">
        <v>2.6669999999999999E-2</v>
      </c>
      <c r="AB41">
        <v>2.631E-2</v>
      </c>
      <c r="AC41">
        <v>2.7845999999999999E-2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68.885189999999994</v>
      </c>
      <c r="EU41">
        <v>65.899209999999997</v>
      </c>
      <c r="EV41">
        <v>63.899549999999998</v>
      </c>
      <c r="EW41">
        <v>62.916699999999999</v>
      </c>
      <c r="EX41">
        <v>61.458419999999997</v>
      </c>
      <c r="EY41">
        <v>60.472239999999999</v>
      </c>
      <c r="EZ41">
        <v>61.922930000000001</v>
      </c>
      <c r="FA41">
        <v>67.872519999999994</v>
      </c>
      <c r="FB41">
        <v>74.828100000000006</v>
      </c>
      <c r="FC41">
        <v>80.347459999999998</v>
      </c>
      <c r="FD41">
        <v>83.967759999999998</v>
      </c>
      <c r="FE41">
        <v>88.055269999999993</v>
      </c>
      <c r="FF41">
        <v>91.017790000000005</v>
      </c>
      <c r="FG41">
        <v>92.758089999999996</v>
      </c>
      <c r="FH41">
        <v>93.691779999999994</v>
      </c>
      <c r="FI41">
        <v>93.213229999999996</v>
      </c>
      <c r="FJ41">
        <v>92.197339999999997</v>
      </c>
      <c r="FK41">
        <v>90.153400000000005</v>
      </c>
      <c r="FL41">
        <v>88.736720000000005</v>
      </c>
      <c r="FM41">
        <v>84.29298</v>
      </c>
      <c r="FN41">
        <v>79.88109</v>
      </c>
      <c r="FO41">
        <v>76.425759999999997</v>
      </c>
      <c r="FP41">
        <v>74.447320000000005</v>
      </c>
      <c r="FQ41">
        <v>71.44699</v>
      </c>
      <c r="FR41">
        <v>0</v>
      </c>
      <c r="FT41" s="44"/>
    </row>
    <row r="42" spans="1:176" x14ac:dyDescent="0.2">
      <c r="A42" t="s">
        <v>1</v>
      </c>
      <c r="B42" t="s">
        <v>203</v>
      </c>
      <c r="C42" s="70">
        <v>41820</v>
      </c>
      <c r="D42">
        <v>0</v>
      </c>
      <c r="E42" s="70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T42" s="44"/>
    </row>
    <row r="43" spans="1:176" x14ac:dyDescent="0.2">
      <c r="A43" t="s">
        <v>1</v>
      </c>
      <c r="B43" t="s">
        <v>203</v>
      </c>
      <c r="C43" s="70">
        <v>41827</v>
      </c>
      <c r="D43">
        <v>0</v>
      </c>
      <c r="E43" s="70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T43" s="44"/>
    </row>
    <row r="44" spans="1:176" x14ac:dyDescent="0.2">
      <c r="A44" t="s">
        <v>1</v>
      </c>
      <c r="B44" t="s">
        <v>203</v>
      </c>
      <c r="C44" s="70">
        <v>41834</v>
      </c>
      <c r="D44">
        <v>0</v>
      </c>
      <c r="E44" s="70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T44" s="44"/>
    </row>
    <row r="45" spans="1:176" x14ac:dyDescent="0.2">
      <c r="A45" t="s">
        <v>1</v>
      </c>
      <c r="B45" t="s">
        <v>203</v>
      </c>
      <c r="C45" s="70">
        <v>41848</v>
      </c>
      <c r="D45">
        <v>0</v>
      </c>
      <c r="E45" s="70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T45" s="44"/>
    </row>
    <row r="46" spans="1:176" x14ac:dyDescent="0.2">
      <c r="A46" t="s">
        <v>1</v>
      </c>
      <c r="B46" t="s">
        <v>203</v>
      </c>
      <c r="C46" s="70">
        <v>41849</v>
      </c>
      <c r="D46">
        <v>0</v>
      </c>
      <c r="E46" s="70">
        <v>21</v>
      </c>
      <c r="F46">
        <v>0.1145872</v>
      </c>
      <c r="G46">
        <v>0.1154519</v>
      </c>
      <c r="H46">
        <v>0.1137649</v>
      </c>
      <c r="I46">
        <v>0.1129952</v>
      </c>
      <c r="J46">
        <v>0.10907840000000001</v>
      </c>
      <c r="K46">
        <v>0.1077149</v>
      </c>
      <c r="L46">
        <v>0.1464609</v>
      </c>
      <c r="M46">
        <v>7.5578199999999998E-2</v>
      </c>
      <c r="N46">
        <v>5.0230400000000001E-2</v>
      </c>
      <c r="O46">
        <v>5.3624199999999997E-2</v>
      </c>
      <c r="P46">
        <v>5.2069900000000002E-2</v>
      </c>
      <c r="Q46">
        <v>5.1035700000000003E-2</v>
      </c>
      <c r="R46">
        <v>0.2435832</v>
      </c>
      <c r="S46">
        <v>0.25492389999999998</v>
      </c>
      <c r="T46">
        <v>0.1081447</v>
      </c>
      <c r="U46">
        <v>4.2285200000000002E-2</v>
      </c>
      <c r="V46">
        <v>4.2540399999999999E-2</v>
      </c>
      <c r="W46">
        <v>4.3783200000000001E-2</v>
      </c>
      <c r="X46">
        <v>4.4147199999999998E-2</v>
      </c>
      <c r="Y46">
        <v>6.1594900000000001E-2</v>
      </c>
      <c r="Z46">
        <v>0.1093662</v>
      </c>
      <c r="AA46">
        <v>0.1174979</v>
      </c>
      <c r="AB46">
        <v>0.1132442</v>
      </c>
      <c r="AC46">
        <v>0.1135014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72.915549999999996</v>
      </c>
      <c r="EU46">
        <v>71.432940000000002</v>
      </c>
      <c r="EV46">
        <v>70.735839999999996</v>
      </c>
      <c r="EW46">
        <v>69.659559999999999</v>
      </c>
      <c r="EX46">
        <v>68.603639999999999</v>
      </c>
      <c r="EY46">
        <v>66.917400000000001</v>
      </c>
      <c r="EZ46">
        <v>66.261880000000005</v>
      </c>
      <c r="FA46">
        <v>69.038539999999998</v>
      </c>
      <c r="FB46">
        <v>70.772959999999998</v>
      </c>
      <c r="FC46">
        <v>75.20993</v>
      </c>
      <c r="FD46">
        <v>79.044730000000001</v>
      </c>
      <c r="FE46">
        <v>82.249309999999994</v>
      </c>
      <c r="FF46">
        <v>74.489260000000002</v>
      </c>
      <c r="FG46">
        <v>74.488810000000001</v>
      </c>
      <c r="FH46">
        <v>77.969939999999994</v>
      </c>
      <c r="FI46">
        <v>87.241900000000001</v>
      </c>
      <c r="FJ46">
        <v>87.240700000000004</v>
      </c>
      <c r="FK46">
        <v>85.990170000000006</v>
      </c>
      <c r="FL46">
        <v>82.866039999999998</v>
      </c>
      <c r="FM46">
        <v>82.705780000000004</v>
      </c>
      <c r="FN46">
        <v>82.080359999999999</v>
      </c>
      <c r="FO46">
        <v>79.154799999999994</v>
      </c>
      <c r="FP46">
        <v>77.334999999999994</v>
      </c>
      <c r="FQ46">
        <v>75.474429999999998</v>
      </c>
      <c r="FR46">
        <v>0</v>
      </c>
      <c r="FT46" s="44"/>
    </row>
    <row r="47" spans="1:176" x14ac:dyDescent="0.2">
      <c r="A47" t="s">
        <v>1</v>
      </c>
      <c r="B47" t="s">
        <v>203</v>
      </c>
      <c r="C47" s="70">
        <v>41850</v>
      </c>
      <c r="D47">
        <v>0</v>
      </c>
      <c r="E47" s="70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T47" s="44"/>
    </row>
    <row r="48" spans="1:176" x14ac:dyDescent="0.2">
      <c r="A48" t="s">
        <v>1</v>
      </c>
      <c r="B48" t="s">
        <v>203</v>
      </c>
      <c r="C48" s="70">
        <v>41851</v>
      </c>
      <c r="D48">
        <v>0</v>
      </c>
      <c r="E48" s="70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T48" s="44"/>
    </row>
    <row r="49" spans="1:176" x14ac:dyDescent="0.2">
      <c r="A49" t="s">
        <v>1</v>
      </c>
      <c r="B49" t="s">
        <v>203</v>
      </c>
      <c r="C49" s="70">
        <v>41852</v>
      </c>
      <c r="D49">
        <v>0</v>
      </c>
      <c r="E49" s="70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T49" s="44"/>
    </row>
    <row r="50" spans="1:176" x14ac:dyDescent="0.2">
      <c r="A50" t="s">
        <v>1</v>
      </c>
      <c r="B50" t="s">
        <v>203</v>
      </c>
      <c r="C50" s="70">
        <v>41894</v>
      </c>
      <c r="D50">
        <v>0</v>
      </c>
      <c r="E50" s="70">
        <v>19</v>
      </c>
      <c r="F50">
        <v>9.2084000000000003E-3</v>
      </c>
      <c r="G50">
        <v>8.6344000000000004E-3</v>
      </c>
      <c r="H50">
        <v>8.4156999999999999E-3</v>
      </c>
      <c r="I50">
        <v>8.5308999999999992E-3</v>
      </c>
      <c r="J50">
        <v>8.3157000000000005E-3</v>
      </c>
      <c r="K50">
        <v>9.0139E-3</v>
      </c>
      <c r="L50">
        <v>1.02542E-2</v>
      </c>
      <c r="M50">
        <v>1.41519E-2</v>
      </c>
      <c r="N50">
        <v>1.1084399999999999E-2</v>
      </c>
      <c r="O50">
        <v>1.1162699999999999E-2</v>
      </c>
      <c r="P50">
        <v>1.06424E-2</v>
      </c>
      <c r="Q50">
        <v>1.46167E-2</v>
      </c>
      <c r="R50">
        <v>1.32429E-2</v>
      </c>
      <c r="S50">
        <v>1.1247699999999999E-2</v>
      </c>
      <c r="T50">
        <v>1.0789699999999999E-2</v>
      </c>
      <c r="U50">
        <v>8.6633999999999999E-3</v>
      </c>
      <c r="V50">
        <v>7.3426999999999997E-3</v>
      </c>
      <c r="W50">
        <v>7.1238999999999999E-3</v>
      </c>
      <c r="X50">
        <v>8.3142000000000008E-3</v>
      </c>
      <c r="Y50">
        <v>8.6102000000000001E-3</v>
      </c>
      <c r="Z50">
        <v>8.2249000000000003E-3</v>
      </c>
      <c r="AA50">
        <v>8.1606999999999999E-3</v>
      </c>
      <c r="AB50">
        <v>8.1974000000000005E-3</v>
      </c>
      <c r="AC50">
        <v>7.4542000000000002E-3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64.336950000000002</v>
      </c>
      <c r="EU50">
        <v>63.795189999999998</v>
      </c>
      <c r="EV50">
        <v>62.287059999999997</v>
      </c>
      <c r="EW50">
        <v>60.833550000000002</v>
      </c>
      <c r="EX50">
        <v>59.636569999999999</v>
      </c>
      <c r="EY50">
        <v>58.393000000000001</v>
      </c>
      <c r="EZ50">
        <v>56.633090000000003</v>
      </c>
      <c r="FA50">
        <v>55.169119999999999</v>
      </c>
      <c r="FB50">
        <v>55.974510000000002</v>
      </c>
      <c r="FC50">
        <v>59.817169999999997</v>
      </c>
      <c r="FD50">
        <v>64.198210000000003</v>
      </c>
      <c r="FE50">
        <v>75.506020000000007</v>
      </c>
      <c r="FF50">
        <v>79.723879999999994</v>
      </c>
      <c r="FG50">
        <v>82.789519999999996</v>
      </c>
      <c r="FH50">
        <v>83.771799999999999</v>
      </c>
      <c r="FI50">
        <v>81.636259999999993</v>
      </c>
      <c r="FJ50">
        <v>78.935019999999994</v>
      </c>
      <c r="FK50">
        <v>76.385450000000006</v>
      </c>
      <c r="FL50">
        <v>70.278919999999999</v>
      </c>
      <c r="FM50">
        <v>67.258349999999993</v>
      </c>
      <c r="FN50">
        <v>65.711789999999993</v>
      </c>
      <c r="FO50">
        <v>65.08972</v>
      </c>
      <c r="FP50">
        <v>63.15401</v>
      </c>
      <c r="FQ50">
        <v>62.526499999999999</v>
      </c>
      <c r="FR50">
        <v>0</v>
      </c>
      <c r="FT50" s="44"/>
    </row>
    <row r="51" spans="1:176" x14ac:dyDescent="0.2">
      <c r="A51" t="s">
        <v>1</v>
      </c>
      <c r="B51" t="s">
        <v>203</v>
      </c>
      <c r="C51" s="70">
        <v>41897</v>
      </c>
      <c r="D51">
        <v>0</v>
      </c>
      <c r="E51" s="70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T51" s="44"/>
    </row>
    <row r="52" spans="1:176" x14ac:dyDescent="0.2">
      <c r="A52" t="s">
        <v>1</v>
      </c>
      <c r="B52" t="s">
        <v>203</v>
      </c>
      <c r="C52" s="70">
        <v>41898</v>
      </c>
      <c r="D52">
        <v>0</v>
      </c>
      <c r="E52" s="70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T52" s="44"/>
    </row>
    <row r="53" spans="1:176" x14ac:dyDescent="0.2">
      <c r="A53" t="s">
        <v>1</v>
      </c>
      <c r="B53" t="s">
        <v>203</v>
      </c>
      <c r="C53" s="70" t="s">
        <v>2</v>
      </c>
      <c r="D53">
        <v>0</v>
      </c>
      <c r="E53" s="70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T53" s="44"/>
    </row>
    <row r="54" spans="1:176" x14ac:dyDescent="0.2">
      <c r="A54" t="s">
        <v>191</v>
      </c>
      <c r="B54" t="s">
        <v>202</v>
      </c>
      <c r="C54" s="70">
        <v>41773</v>
      </c>
      <c r="D54">
        <v>0</v>
      </c>
      <c r="E54" s="70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T54" s="44"/>
    </row>
    <row r="55" spans="1:176" x14ac:dyDescent="0.2">
      <c r="A55" t="s">
        <v>191</v>
      </c>
      <c r="B55" t="s">
        <v>202</v>
      </c>
      <c r="C55" s="70">
        <v>41820</v>
      </c>
      <c r="D55">
        <v>0</v>
      </c>
      <c r="E55" s="70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T55" s="44"/>
    </row>
    <row r="56" spans="1:176" x14ac:dyDescent="0.2">
      <c r="A56" t="s">
        <v>191</v>
      </c>
      <c r="B56" t="s">
        <v>202</v>
      </c>
      <c r="C56" s="70">
        <v>41827</v>
      </c>
      <c r="D56">
        <v>0</v>
      </c>
      <c r="E56" s="70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T56" s="44"/>
    </row>
    <row r="57" spans="1:176" x14ac:dyDescent="0.2">
      <c r="A57" t="s">
        <v>191</v>
      </c>
      <c r="B57" t="s">
        <v>202</v>
      </c>
      <c r="C57" s="70">
        <v>41834</v>
      </c>
      <c r="D57">
        <v>0</v>
      </c>
      <c r="E57" s="70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T57" s="44"/>
    </row>
    <row r="58" spans="1:176" x14ac:dyDescent="0.2">
      <c r="A58" t="s">
        <v>191</v>
      </c>
      <c r="B58" t="s">
        <v>202</v>
      </c>
      <c r="C58" s="70">
        <v>41848</v>
      </c>
      <c r="D58">
        <v>0</v>
      </c>
      <c r="E58" s="70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T58" s="44"/>
    </row>
    <row r="59" spans="1:176" x14ac:dyDescent="0.2">
      <c r="A59" t="s">
        <v>191</v>
      </c>
      <c r="B59" t="s">
        <v>202</v>
      </c>
      <c r="C59" s="70">
        <v>41849</v>
      </c>
      <c r="D59">
        <v>0</v>
      </c>
      <c r="E59" s="70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T59" s="44"/>
    </row>
    <row r="60" spans="1:176" x14ac:dyDescent="0.2">
      <c r="A60" t="s">
        <v>191</v>
      </c>
      <c r="B60" t="s">
        <v>202</v>
      </c>
      <c r="C60" s="70">
        <v>41850</v>
      </c>
      <c r="D60">
        <v>0</v>
      </c>
      <c r="E60" s="7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T60" s="44"/>
    </row>
    <row r="61" spans="1:176" x14ac:dyDescent="0.2">
      <c r="A61" t="s">
        <v>191</v>
      </c>
      <c r="B61" t="s">
        <v>202</v>
      </c>
      <c r="C61" s="70">
        <v>41851</v>
      </c>
      <c r="D61">
        <v>0</v>
      </c>
      <c r="E61" s="70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T61" s="44"/>
    </row>
    <row r="62" spans="1:176" x14ac:dyDescent="0.2">
      <c r="A62" t="s">
        <v>191</v>
      </c>
      <c r="B62" t="s">
        <v>202</v>
      </c>
      <c r="C62" s="70">
        <v>41852</v>
      </c>
      <c r="D62">
        <v>0</v>
      </c>
      <c r="E62" s="70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T62" s="44"/>
    </row>
    <row r="63" spans="1:176" x14ac:dyDescent="0.2">
      <c r="A63" t="s">
        <v>191</v>
      </c>
      <c r="B63" t="s">
        <v>202</v>
      </c>
      <c r="C63" s="70">
        <v>41894</v>
      </c>
      <c r="D63">
        <v>0</v>
      </c>
      <c r="E63" s="70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T63" s="44"/>
    </row>
    <row r="64" spans="1:176" x14ac:dyDescent="0.2">
      <c r="A64" t="s">
        <v>191</v>
      </c>
      <c r="B64" t="s">
        <v>202</v>
      </c>
      <c r="C64" s="70">
        <v>41897</v>
      </c>
      <c r="D64">
        <v>0</v>
      </c>
      <c r="E64" s="70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T64" s="44"/>
    </row>
    <row r="65" spans="1:176" x14ac:dyDescent="0.2">
      <c r="A65" t="s">
        <v>191</v>
      </c>
      <c r="B65" t="s">
        <v>202</v>
      </c>
      <c r="C65" s="70">
        <v>41898</v>
      </c>
      <c r="D65">
        <v>0</v>
      </c>
      <c r="E65" s="70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T65" s="44"/>
    </row>
    <row r="66" spans="1:176" x14ac:dyDescent="0.2">
      <c r="A66" t="s">
        <v>191</v>
      </c>
      <c r="B66" t="s">
        <v>202</v>
      </c>
      <c r="C66" s="70" t="s">
        <v>2</v>
      </c>
      <c r="D66">
        <v>0</v>
      </c>
      <c r="E66" s="70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T66" s="44"/>
    </row>
    <row r="67" spans="1:176" x14ac:dyDescent="0.2">
      <c r="A67" t="s">
        <v>191</v>
      </c>
      <c r="B67" t="s">
        <v>204</v>
      </c>
      <c r="C67" s="70">
        <v>41773</v>
      </c>
      <c r="D67">
        <v>0</v>
      </c>
      <c r="E67" s="70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T67" s="44"/>
    </row>
    <row r="68" spans="1:176" x14ac:dyDescent="0.2">
      <c r="A68" t="s">
        <v>191</v>
      </c>
      <c r="B68" t="s">
        <v>204</v>
      </c>
      <c r="C68" s="70">
        <v>41820</v>
      </c>
      <c r="D68">
        <v>0</v>
      </c>
      <c r="E68" s="70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T68" s="44"/>
    </row>
    <row r="69" spans="1:176" x14ac:dyDescent="0.2">
      <c r="A69" t="s">
        <v>191</v>
      </c>
      <c r="B69" t="s">
        <v>204</v>
      </c>
      <c r="C69" s="70">
        <v>41827</v>
      </c>
      <c r="D69">
        <v>0</v>
      </c>
      <c r="E69" s="70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T69" s="44"/>
    </row>
    <row r="70" spans="1:176" x14ac:dyDescent="0.2">
      <c r="A70" t="s">
        <v>191</v>
      </c>
      <c r="B70" t="s">
        <v>204</v>
      </c>
      <c r="C70" s="70">
        <v>41834</v>
      </c>
      <c r="D70">
        <v>0</v>
      </c>
      <c r="E70" s="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T70" s="44"/>
    </row>
    <row r="71" spans="1:176" x14ac:dyDescent="0.2">
      <c r="A71" t="s">
        <v>191</v>
      </c>
      <c r="B71" t="s">
        <v>204</v>
      </c>
      <c r="C71" s="70">
        <v>41848</v>
      </c>
      <c r="D71">
        <v>0</v>
      </c>
      <c r="E71" s="70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T71" s="44"/>
    </row>
    <row r="72" spans="1:176" x14ac:dyDescent="0.2">
      <c r="A72" t="s">
        <v>191</v>
      </c>
      <c r="B72" t="s">
        <v>204</v>
      </c>
      <c r="C72" s="70">
        <v>41849</v>
      </c>
      <c r="D72">
        <v>0</v>
      </c>
      <c r="E72" s="70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T72" s="44"/>
    </row>
    <row r="73" spans="1:176" x14ac:dyDescent="0.2">
      <c r="A73" t="s">
        <v>191</v>
      </c>
      <c r="B73" t="s">
        <v>204</v>
      </c>
      <c r="C73" s="70">
        <v>41850</v>
      </c>
      <c r="D73">
        <v>0</v>
      </c>
      <c r="E73" s="70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T73" s="44"/>
    </row>
    <row r="74" spans="1:176" x14ac:dyDescent="0.2">
      <c r="A74" t="s">
        <v>191</v>
      </c>
      <c r="B74" t="s">
        <v>204</v>
      </c>
      <c r="C74" s="70">
        <v>41851</v>
      </c>
      <c r="D74">
        <v>0</v>
      </c>
      <c r="E74" s="70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T74" s="44"/>
    </row>
    <row r="75" spans="1:176" x14ac:dyDescent="0.2">
      <c r="A75" t="s">
        <v>191</v>
      </c>
      <c r="B75" t="s">
        <v>204</v>
      </c>
      <c r="C75" s="70">
        <v>41852</v>
      </c>
      <c r="D75">
        <v>0</v>
      </c>
      <c r="E75" s="70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T75" s="44"/>
    </row>
    <row r="76" spans="1:176" x14ac:dyDescent="0.2">
      <c r="A76" t="s">
        <v>191</v>
      </c>
      <c r="B76" t="s">
        <v>204</v>
      </c>
      <c r="C76" s="70">
        <v>41894</v>
      </c>
      <c r="D76">
        <v>0</v>
      </c>
      <c r="E76" s="70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T76" s="44"/>
    </row>
    <row r="77" spans="1:176" x14ac:dyDescent="0.2">
      <c r="A77" t="s">
        <v>191</v>
      </c>
      <c r="B77" t="s">
        <v>204</v>
      </c>
      <c r="C77" s="70">
        <v>41897</v>
      </c>
      <c r="D77">
        <v>0</v>
      </c>
      <c r="E77" s="70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T77" s="44"/>
    </row>
    <row r="78" spans="1:176" x14ac:dyDescent="0.2">
      <c r="A78" t="s">
        <v>191</v>
      </c>
      <c r="B78" t="s">
        <v>204</v>
      </c>
      <c r="C78" s="70">
        <v>41898</v>
      </c>
      <c r="D78">
        <v>0</v>
      </c>
      <c r="E78" s="70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T78" s="44"/>
    </row>
    <row r="79" spans="1:176" x14ac:dyDescent="0.2">
      <c r="A79" t="s">
        <v>191</v>
      </c>
      <c r="B79" t="s">
        <v>204</v>
      </c>
      <c r="C79" s="70" t="s">
        <v>2</v>
      </c>
      <c r="D79">
        <v>0</v>
      </c>
      <c r="E79" s="70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T79" s="44"/>
    </row>
    <row r="80" spans="1:176" x14ac:dyDescent="0.2">
      <c r="A80" t="s">
        <v>191</v>
      </c>
      <c r="B80" t="s">
        <v>1</v>
      </c>
      <c r="C80" s="70">
        <v>41773</v>
      </c>
      <c r="D80">
        <v>10</v>
      </c>
      <c r="E80" s="70">
        <v>380</v>
      </c>
      <c r="F80">
        <v>92.689490000000006</v>
      </c>
      <c r="G80">
        <v>90.738159999999993</v>
      </c>
      <c r="H80">
        <v>89.356409999999997</v>
      </c>
      <c r="I80">
        <v>88.894189999999995</v>
      </c>
      <c r="J80">
        <v>89.964230000000001</v>
      </c>
      <c r="K80">
        <v>91.997699999999995</v>
      </c>
      <c r="L80">
        <v>96.692790000000002</v>
      </c>
      <c r="M80">
        <v>103.28489999999999</v>
      </c>
      <c r="N80">
        <v>110.4436</v>
      </c>
      <c r="O80">
        <v>115.2075</v>
      </c>
      <c r="P80">
        <v>120.0715</v>
      </c>
      <c r="Q80">
        <v>122.05670000000001</v>
      </c>
      <c r="R80">
        <v>123.7972</v>
      </c>
      <c r="S80">
        <v>124.85599999999999</v>
      </c>
      <c r="T80">
        <v>126.68519999999999</v>
      </c>
      <c r="U80">
        <v>125.42910000000001</v>
      </c>
      <c r="V80">
        <v>124.0412</v>
      </c>
      <c r="W80">
        <v>119.4021</v>
      </c>
      <c r="X80">
        <v>114.01909999999999</v>
      </c>
      <c r="Y80">
        <v>109.0097</v>
      </c>
      <c r="Z80">
        <v>105.8069</v>
      </c>
      <c r="AA80">
        <v>101.9498</v>
      </c>
      <c r="AB80">
        <v>98.184430000000006</v>
      </c>
      <c r="AC80">
        <v>95.292029999999997</v>
      </c>
      <c r="AD80">
        <v>0.3406978</v>
      </c>
      <c r="AE80">
        <v>3.68893E-2</v>
      </c>
      <c r="AF80">
        <v>-9.74082E-2</v>
      </c>
      <c r="AG80">
        <v>4.9784000000000002E-2</v>
      </c>
      <c r="AH80">
        <v>7.3907399999999998E-2</v>
      </c>
      <c r="AI80">
        <v>-0.50465910000000003</v>
      </c>
      <c r="AJ80">
        <v>-2.0837899999999999E-2</v>
      </c>
      <c r="AK80">
        <v>9.8937499999999998E-2</v>
      </c>
      <c r="AL80">
        <v>-7.8482700000000002E-2</v>
      </c>
      <c r="AM80">
        <v>-0.16884350000000001</v>
      </c>
      <c r="AN80">
        <v>-9.5387299999999994E-2</v>
      </c>
      <c r="AO80">
        <v>1.1348959999999999</v>
      </c>
      <c r="AP80">
        <v>5.5238449999999997</v>
      </c>
      <c r="AQ80">
        <v>4.5776700000000003</v>
      </c>
      <c r="AR80">
        <v>4.0644520000000002</v>
      </c>
      <c r="AS80">
        <v>3.5687679999999999</v>
      </c>
      <c r="AT80">
        <v>3.4297270000000002</v>
      </c>
      <c r="AU80">
        <v>3.323664</v>
      </c>
      <c r="AV80">
        <v>3.181092</v>
      </c>
      <c r="AW80">
        <v>2.995698</v>
      </c>
      <c r="AX80">
        <v>1.704466</v>
      </c>
      <c r="AY80">
        <v>-1.985E-4</v>
      </c>
      <c r="AZ80">
        <v>5.36622E-2</v>
      </c>
      <c r="BA80">
        <v>-0.16562270000000001</v>
      </c>
      <c r="BB80">
        <v>0.38671329999999998</v>
      </c>
      <c r="BC80">
        <v>7.4085899999999996E-2</v>
      </c>
      <c r="BD80">
        <v>-6.6519499999999995E-2</v>
      </c>
      <c r="BE80">
        <v>9.0338500000000002E-2</v>
      </c>
      <c r="BF80">
        <v>0.1111679</v>
      </c>
      <c r="BG80">
        <v>-0.37596770000000002</v>
      </c>
      <c r="BH80">
        <v>1.39924E-2</v>
      </c>
      <c r="BI80">
        <v>0.1599207</v>
      </c>
      <c r="BJ80">
        <v>9.1201000000000008E-3</v>
      </c>
      <c r="BK80">
        <v>-9.9506800000000006E-2</v>
      </c>
      <c r="BL80">
        <v>-2.8675300000000001E-2</v>
      </c>
      <c r="BM80">
        <v>1.2092909999999999</v>
      </c>
      <c r="BN80">
        <v>5.5870160000000002</v>
      </c>
      <c r="BO80">
        <v>4.6459349999999997</v>
      </c>
      <c r="BP80">
        <v>4.1220359999999996</v>
      </c>
      <c r="BQ80">
        <v>3.6455570000000002</v>
      </c>
      <c r="BR80">
        <v>3.4944709999999999</v>
      </c>
      <c r="BS80">
        <v>3.373097</v>
      </c>
      <c r="BT80">
        <v>3.2387229999999998</v>
      </c>
      <c r="BU80">
        <v>3.055758</v>
      </c>
      <c r="BV80">
        <v>1.7588600000000001</v>
      </c>
      <c r="BW80">
        <v>5.1838700000000001E-2</v>
      </c>
      <c r="BX80">
        <v>0.11517479999999999</v>
      </c>
      <c r="BY80">
        <v>-8.1989800000000002E-2</v>
      </c>
      <c r="BZ80">
        <v>0.41858339999999999</v>
      </c>
      <c r="CA80">
        <v>9.9848199999999998E-2</v>
      </c>
      <c r="CB80">
        <v>-4.5125999999999999E-2</v>
      </c>
      <c r="CC80">
        <v>0.1184264</v>
      </c>
      <c r="CD80">
        <v>0.1369744</v>
      </c>
      <c r="CE80">
        <v>-0.28683639999999999</v>
      </c>
      <c r="CF80">
        <v>3.8115700000000002E-2</v>
      </c>
      <c r="CG80">
        <v>0.20215759999999999</v>
      </c>
      <c r="CH80">
        <v>6.9793499999999994E-2</v>
      </c>
      <c r="CI80">
        <v>-5.1484299999999997E-2</v>
      </c>
      <c r="CJ80">
        <v>1.7529300000000001E-2</v>
      </c>
      <c r="CK80">
        <v>1.2608170000000001</v>
      </c>
      <c r="CL80">
        <v>5.6307689999999999</v>
      </c>
      <c r="CM80">
        <v>4.6932140000000002</v>
      </c>
      <c r="CN80">
        <v>4.1619200000000003</v>
      </c>
      <c r="CO80">
        <v>3.6987410000000001</v>
      </c>
      <c r="CP80">
        <v>3.5393129999999999</v>
      </c>
      <c r="CQ80">
        <v>3.4073340000000001</v>
      </c>
      <c r="CR80">
        <v>3.2786379999999999</v>
      </c>
      <c r="CS80">
        <v>3.097356</v>
      </c>
      <c r="CT80">
        <v>1.796532</v>
      </c>
      <c r="CU80">
        <v>8.7879600000000002E-2</v>
      </c>
      <c r="CV80">
        <v>0.15777830000000001</v>
      </c>
      <c r="CW80">
        <v>-2.4065900000000001E-2</v>
      </c>
      <c r="CX80">
        <v>0.45045360000000001</v>
      </c>
      <c r="CY80">
        <v>0.12561050000000001</v>
      </c>
      <c r="CZ80">
        <v>-2.37326E-2</v>
      </c>
      <c r="DA80">
        <v>0.14651429999999999</v>
      </c>
      <c r="DB80">
        <v>0.16278090000000001</v>
      </c>
      <c r="DC80">
        <v>-0.1977052</v>
      </c>
      <c r="DD80">
        <v>6.2239000000000003E-2</v>
      </c>
      <c r="DE80">
        <v>0.24439440000000001</v>
      </c>
      <c r="DF80">
        <v>0.1304669</v>
      </c>
      <c r="DG80">
        <v>-3.4619E-3</v>
      </c>
      <c r="DH80">
        <v>6.3733799999999993E-2</v>
      </c>
      <c r="DI80">
        <v>1.3123419999999999</v>
      </c>
      <c r="DJ80">
        <v>5.6745210000000004</v>
      </c>
      <c r="DK80">
        <v>4.740494</v>
      </c>
      <c r="DL80">
        <v>4.201803</v>
      </c>
      <c r="DM80">
        <v>3.751925</v>
      </c>
      <c r="DN80">
        <v>3.584155</v>
      </c>
      <c r="DO80">
        <v>3.4415710000000002</v>
      </c>
      <c r="DP80">
        <v>3.3185530000000001</v>
      </c>
      <c r="DQ80">
        <v>3.1389529999999999</v>
      </c>
      <c r="DR80">
        <v>1.8342050000000001</v>
      </c>
      <c r="DS80">
        <v>0.1239204</v>
      </c>
      <c r="DT80">
        <v>0.2003817</v>
      </c>
      <c r="DU80">
        <v>3.3857900000000003E-2</v>
      </c>
      <c r="DV80">
        <v>0.49646899999999999</v>
      </c>
      <c r="DW80">
        <v>0.16280710000000001</v>
      </c>
      <c r="DX80">
        <v>7.1561999999999997E-3</v>
      </c>
      <c r="DY80">
        <v>0.18706880000000001</v>
      </c>
      <c r="DZ80">
        <v>0.20004140000000001</v>
      </c>
      <c r="EA80">
        <v>-6.90138E-2</v>
      </c>
      <c r="EB80">
        <v>9.7069199999999994E-2</v>
      </c>
      <c r="EC80">
        <v>0.30537769999999997</v>
      </c>
      <c r="ED80">
        <v>0.21806970000000001</v>
      </c>
      <c r="EE80">
        <v>6.58749E-2</v>
      </c>
      <c r="EF80">
        <v>0.1304458</v>
      </c>
      <c r="EG80">
        <v>1.3867370000000001</v>
      </c>
      <c r="EH80">
        <v>5.7376930000000002</v>
      </c>
      <c r="EI80">
        <v>4.8087590000000002</v>
      </c>
      <c r="EJ80">
        <v>4.2593870000000003</v>
      </c>
      <c r="EK80">
        <v>3.8287140000000002</v>
      </c>
      <c r="EL80">
        <v>3.6488990000000001</v>
      </c>
      <c r="EM80">
        <v>3.4910040000000002</v>
      </c>
      <c r="EN80">
        <v>3.3761839999999999</v>
      </c>
      <c r="EO80">
        <v>3.1990129999999999</v>
      </c>
      <c r="EP80">
        <v>1.888598</v>
      </c>
      <c r="EQ80">
        <v>0.17595769999999999</v>
      </c>
      <c r="ER80">
        <v>0.26189430000000002</v>
      </c>
      <c r="ES80">
        <v>0.11749080000000001</v>
      </c>
      <c r="ET80">
        <v>69.361890000000002</v>
      </c>
      <c r="EU80">
        <v>68.371889999999993</v>
      </c>
      <c r="EV80">
        <v>67.022469999999998</v>
      </c>
      <c r="EW80">
        <v>66.125600000000006</v>
      </c>
      <c r="EX80">
        <v>65.049509999999998</v>
      </c>
      <c r="EY80">
        <v>64.105189999999993</v>
      </c>
      <c r="EZ80">
        <v>64.878100000000003</v>
      </c>
      <c r="FA80">
        <v>68.054490000000001</v>
      </c>
      <c r="FB80">
        <v>72.176519999999996</v>
      </c>
      <c r="FC80">
        <v>76.959630000000004</v>
      </c>
      <c r="FD80">
        <v>80.776399999999995</v>
      </c>
      <c r="FE80">
        <v>83.940700000000007</v>
      </c>
      <c r="FF80">
        <v>85.966250000000002</v>
      </c>
      <c r="FG80">
        <v>89.157039999999995</v>
      </c>
      <c r="FH80">
        <v>91.193610000000007</v>
      </c>
      <c r="FI80">
        <v>91.341419999999999</v>
      </c>
      <c r="FJ80">
        <v>89.895650000000003</v>
      </c>
      <c r="FK80">
        <v>89.095010000000002</v>
      </c>
      <c r="FL80">
        <v>87.475859999999997</v>
      </c>
      <c r="FM80">
        <v>83.254620000000003</v>
      </c>
      <c r="FN80">
        <v>79.286150000000006</v>
      </c>
      <c r="FO80">
        <v>76.963650000000001</v>
      </c>
      <c r="FP80">
        <v>74.011709999999994</v>
      </c>
      <c r="FQ80">
        <v>72.217979999999997</v>
      </c>
      <c r="FR80">
        <v>1</v>
      </c>
      <c r="FT80" s="44"/>
    </row>
    <row r="81" spans="1:176" x14ac:dyDescent="0.2">
      <c r="A81" t="s">
        <v>191</v>
      </c>
      <c r="B81" t="s">
        <v>1</v>
      </c>
      <c r="C81" s="70">
        <v>41820</v>
      </c>
      <c r="D81">
        <v>53</v>
      </c>
      <c r="E81" s="70">
        <v>414</v>
      </c>
      <c r="F81">
        <v>204.99979999999999</v>
      </c>
      <c r="G81">
        <v>204.99940000000001</v>
      </c>
      <c r="H81">
        <v>204.1121</v>
      </c>
      <c r="I81">
        <v>205.1713</v>
      </c>
      <c r="J81">
        <v>208.45679999999999</v>
      </c>
      <c r="K81">
        <v>215.4366</v>
      </c>
      <c r="L81">
        <v>226.36680000000001</v>
      </c>
      <c r="M81">
        <v>240.33269999999999</v>
      </c>
      <c r="N81">
        <v>253.30779999999999</v>
      </c>
      <c r="O81">
        <v>266.34780000000001</v>
      </c>
      <c r="P81">
        <v>275.04820000000001</v>
      </c>
      <c r="Q81">
        <v>281.78429999999997</v>
      </c>
      <c r="R81">
        <v>284.64490000000001</v>
      </c>
      <c r="S81">
        <v>286.3134</v>
      </c>
      <c r="T81">
        <v>288.36759999999998</v>
      </c>
      <c r="U81">
        <v>285.46749999999997</v>
      </c>
      <c r="V81">
        <v>280.69349999999997</v>
      </c>
      <c r="W81">
        <v>270.77600000000001</v>
      </c>
      <c r="X81">
        <v>253.93950000000001</v>
      </c>
      <c r="Y81">
        <v>240.7432</v>
      </c>
      <c r="Z81">
        <v>236.66030000000001</v>
      </c>
      <c r="AA81">
        <v>229.28059999999999</v>
      </c>
      <c r="AB81">
        <v>221.828</v>
      </c>
      <c r="AC81">
        <v>217.40389999999999</v>
      </c>
      <c r="AD81">
        <v>-1.24424</v>
      </c>
      <c r="AE81">
        <v>-0.74744500000000003</v>
      </c>
      <c r="AF81">
        <v>-0.35208070000000002</v>
      </c>
      <c r="AG81">
        <v>-0.24147850000000001</v>
      </c>
      <c r="AH81">
        <v>0.38775890000000002</v>
      </c>
      <c r="AI81">
        <v>0.48226659999999999</v>
      </c>
      <c r="AJ81">
        <v>0.20286889999999999</v>
      </c>
      <c r="AK81">
        <v>4.00562E-2</v>
      </c>
      <c r="AL81">
        <v>-6.7502599999999996E-2</v>
      </c>
      <c r="AM81">
        <v>-0.66587730000000001</v>
      </c>
      <c r="AN81">
        <v>-1.392658</v>
      </c>
      <c r="AO81">
        <v>9.9802000000000002E-2</v>
      </c>
      <c r="AP81">
        <v>6.6699549999999999</v>
      </c>
      <c r="AQ81">
        <v>7.2038140000000004</v>
      </c>
      <c r="AR81">
        <v>7.6350220000000002</v>
      </c>
      <c r="AS81">
        <v>6.3972290000000003</v>
      </c>
      <c r="AT81">
        <v>4.7270300000000001</v>
      </c>
      <c r="AU81">
        <v>4.6442959999999998</v>
      </c>
      <c r="AV81">
        <v>3.4505499999999998</v>
      </c>
      <c r="AW81">
        <v>2.9679690000000001</v>
      </c>
      <c r="AX81">
        <v>3.6430400000000002E-2</v>
      </c>
      <c r="AY81">
        <v>-2.0046940000000002</v>
      </c>
      <c r="AZ81">
        <v>-1.884619</v>
      </c>
      <c r="BA81">
        <v>-0.47140320000000002</v>
      </c>
      <c r="BB81">
        <v>-1.041595</v>
      </c>
      <c r="BC81">
        <v>-0.56946620000000003</v>
      </c>
      <c r="BD81">
        <v>-0.22761229999999999</v>
      </c>
      <c r="BE81">
        <v>-9.8570500000000005E-2</v>
      </c>
      <c r="BF81">
        <v>0.50939009999999996</v>
      </c>
      <c r="BG81">
        <v>0.60458029999999996</v>
      </c>
      <c r="BH81">
        <v>0.33636179999999999</v>
      </c>
      <c r="BI81">
        <v>0.2012475</v>
      </c>
      <c r="BJ81">
        <v>0.18753259999999999</v>
      </c>
      <c r="BK81">
        <v>-0.39864899999999998</v>
      </c>
      <c r="BL81">
        <v>-1.1115520000000001</v>
      </c>
      <c r="BM81">
        <v>0.37988860000000002</v>
      </c>
      <c r="BN81">
        <v>6.9578660000000001</v>
      </c>
      <c r="BO81">
        <v>7.4788069999999998</v>
      </c>
      <c r="BP81">
        <v>7.9515739999999999</v>
      </c>
      <c r="BQ81">
        <v>6.6833499999999999</v>
      </c>
      <c r="BR81">
        <v>4.9535790000000004</v>
      </c>
      <c r="BS81">
        <v>4.8628179999999999</v>
      </c>
      <c r="BT81">
        <v>3.661457</v>
      </c>
      <c r="BU81">
        <v>3.2127680000000001</v>
      </c>
      <c r="BV81">
        <v>0.31163920000000001</v>
      </c>
      <c r="BW81">
        <v>-1.7581800000000001</v>
      </c>
      <c r="BX81">
        <v>-1.6587499999999999</v>
      </c>
      <c r="BY81">
        <v>-0.24987780000000001</v>
      </c>
      <c r="BZ81">
        <v>-0.90124360000000003</v>
      </c>
      <c r="CA81">
        <v>-0.4461985</v>
      </c>
      <c r="CB81">
        <v>-0.1414059</v>
      </c>
      <c r="CC81">
        <v>4.0719999999999998E-4</v>
      </c>
      <c r="CD81">
        <v>0.59363160000000004</v>
      </c>
      <c r="CE81">
        <v>0.68929439999999997</v>
      </c>
      <c r="CF81">
        <v>0.42881849999999999</v>
      </c>
      <c r="CG81">
        <v>0.3128881</v>
      </c>
      <c r="CH81">
        <v>0.36416910000000002</v>
      </c>
      <c r="CI81">
        <v>-0.21356749999999999</v>
      </c>
      <c r="CJ81">
        <v>-0.91685899999999998</v>
      </c>
      <c r="CK81">
        <v>0.57387569999999999</v>
      </c>
      <c r="CL81">
        <v>7.1572719999999999</v>
      </c>
      <c r="CM81">
        <v>7.6692669999999996</v>
      </c>
      <c r="CN81">
        <v>8.1708169999999996</v>
      </c>
      <c r="CO81">
        <v>6.8815169999999997</v>
      </c>
      <c r="CP81">
        <v>5.110487</v>
      </c>
      <c r="CQ81">
        <v>5.0141650000000002</v>
      </c>
      <c r="CR81">
        <v>3.8075299999999999</v>
      </c>
      <c r="CS81">
        <v>3.3823150000000002</v>
      </c>
      <c r="CT81">
        <v>0.50224800000000003</v>
      </c>
      <c r="CU81">
        <v>-1.587445</v>
      </c>
      <c r="CV81">
        <v>-1.502313</v>
      </c>
      <c r="CW81">
        <v>-9.6449999999999994E-2</v>
      </c>
      <c r="CX81">
        <v>-0.76089220000000002</v>
      </c>
      <c r="CY81">
        <v>-0.32293080000000002</v>
      </c>
      <c r="CZ81">
        <v>-5.5199400000000003E-2</v>
      </c>
      <c r="DA81">
        <v>9.9384899999999998E-2</v>
      </c>
      <c r="DB81">
        <v>0.67787299999999995</v>
      </c>
      <c r="DC81">
        <v>0.77400849999999999</v>
      </c>
      <c r="DD81">
        <v>0.52127520000000005</v>
      </c>
      <c r="DE81">
        <v>0.42452869999999998</v>
      </c>
      <c r="DF81">
        <v>0.54080569999999994</v>
      </c>
      <c r="DG81">
        <v>-2.8486000000000001E-2</v>
      </c>
      <c r="DH81">
        <v>-0.72216579999999997</v>
      </c>
      <c r="DI81">
        <v>0.76786290000000001</v>
      </c>
      <c r="DJ81">
        <v>7.3566779999999996</v>
      </c>
      <c r="DK81">
        <v>7.8597270000000004</v>
      </c>
      <c r="DL81">
        <v>8.3900600000000001</v>
      </c>
      <c r="DM81">
        <v>7.0796840000000003</v>
      </c>
      <c r="DN81">
        <v>5.2673949999999996</v>
      </c>
      <c r="DO81">
        <v>5.1655129999999998</v>
      </c>
      <c r="DP81">
        <v>3.9536039999999999</v>
      </c>
      <c r="DQ81">
        <v>3.5518619999999999</v>
      </c>
      <c r="DR81">
        <v>0.69285680000000005</v>
      </c>
      <c r="DS81">
        <v>-1.4167099999999999</v>
      </c>
      <c r="DT81">
        <v>-1.345877</v>
      </c>
      <c r="DU81">
        <v>5.6977800000000002E-2</v>
      </c>
      <c r="DV81">
        <v>-0.5582471</v>
      </c>
      <c r="DW81">
        <v>-0.14495189999999999</v>
      </c>
      <c r="DX81">
        <v>6.9268899999999994E-2</v>
      </c>
      <c r="DY81">
        <v>0.24229300000000001</v>
      </c>
      <c r="DZ81">
        <v>0.7995042</v>
      </c>
      <c r="EA81">
        <v>0.89632219999999996</v>
      </c>
      <c r="EB81">
        <v>0.65476800000000002</v>
      </c>
      <c r="EC81">
        <v>0.58572000000000002</v>
      </c>
      <c r="ED81">
        <v>0.79584080000000001</v>
      </c>
      <c r="EE81">
        <v>0.23874229999999999</v>
      </c>
      <c r="EF81">
        <v>-0.4410597</v>
      </c>
      <c r="EG81">
        <v>1.047949</v>
      </c>
      <c r="EH81">
        <v>7.64459</v>
      </c>
      <c r="EI81">
        <v>8.1347210000000008</v>
      </c>
      <c r="EJ81">
        <v>8.7066130000000008</v>
      </c>
      <c r="EK81">
        <v>7.3658049999999999</v>
      </c>
      <c r="EL81">
        <v>5.4939450000000001</v>
      </c>
      <c r="EM81">
        <v>5.3840349999999999</v>
      </c>
      <c r="EN81">
        <v>4.1645110000000001</v>
      </c>
      <c r="EO81">
        <v>3.7966600000000001</v>
      </c>
      <c r="EP81">
        <v>0.96806570000000003</v>
      </c>
      <c r="EQ81">
        <v>-1.170196</v>
      </c>
      <c r="ER81">
        <v>-1.120007</v>
      </c>
      <c r="ES81">
        <v>0.27850320000000001</v>
      </c>
      <c r="ET81">
        <v>67.167370000000005</v>
      </c>
      <c r="EU81">
        <v>66.063159999999996</v>
      </c>
      <c r="EV81">
        <v>65.155209999999997</v>
      </c>
      <c r="EW81">
        <v>64.512379999999993</v>
      </c>
      <c r="EX81">
        <v>64.052710000000005</v>
      </c>
      <c r="EY81">
        <v>63.48413</v>
      </c>
      <c r="EZ81">
        <v>63.698889999999999</v>
      </c>
      <c r="FA81">
        <v>66.511700000000005</v>
      </c>
      <c r="FB81">
        <v>70.329949999999997</v>
      </c>
      <c r="FC81">
        <v>75.468069999999997</v>
      </c>
      <c r="FD81">
        <v>81.007320000000007</v>
      </c>
      <c r="FE81">
        <v>85.664599999999993</v>
      </c>
      <c r="FF81">
        <v>88.067310000000006</v>
      </c>
      <c r="FG81">
        <v>88.351159999999993</v>
      </c>
      <c r="FH81">
        <v>87.936490000000006</v>
      </c>
      <c r="FI81">
        <v>86.378739999999993</v>
      </c>
      <c r="FJ81">
        <v>85.23021</v>
      </c>
      <c r="FK81">
        <v>83.845489999999998</v>
      </c>
      <c r="FL81">
        <v>79.38279</v>
      </c>
      <c r="FM81">
        <v>76.001499999999993</v>
      </c>
      <c r="FN81">
        <v>73.149990000000003</v>
      </c>
      <c r="FO81">
        <v>70.593900000000005</v>
      </c>
      <c r="FP81">
        <v>68.404430000000005</v>
      </c>
      <c r="FQ81">
        <v>66.673259999999999</v>
      </c>
      <c r="FR81">
        <v>1</v>
      </c>
      <c r="FT81" s="44"/>
    </row>
    <row r="82" spans="1:176" x14ac:dyDescent="0.2">
      <c r="A82" t="s">
        <v>191</v>
      </c>
      <c r="B82" t="s">
        <v>1</v>
      </c>
      <c r="C82" s="70">
        <v>41827</v>
      </c>
      <c r="D82">
        <v>50</v>
      </c>
      <c r="E82" s="70">
        <v>413</v>
      </c>
      <c r="F82">
        <v>203.29949999999999</v>
      </c>
      <c r="G82">
        <v>201.89769999999999</v>
      </c>
      <c r="H82">
        <v>199.81729999999999</v>
      </c>
      <c r="I82">
        <v>200.489</v>
      </c>
      <c r="J82">
        <v>202.93700000000001</v>
      </c>
      <c r="K82">
        <v>209.76410000000001</v>
      </c>
      <c r="L82">
        <v>218.56610000000001</v>
      </c>
      <c r="M82">
        <v>227.85659999999999</v>
      </c>
      <c r="N82">
        <v>238.15700000000001</v>
      </c>
      <c r="O82">
        <v>250.23079999999999</v>
      </c>
      <c r="P82">
        <v>257.89190000000002</v>
      </c>
      <c r="Q82">
        <v>263.0172</v>
      </c>
      <c r="R82">
        <v>266.75959999999998</v>
      </c>
      <c r="S82">
        <v>269.11219999999997</v>
      </c>
      <c r="T82">
        <v>271.71469999999999</v>
      </c>
      <c r="U82">
        <v>270.70589999999999</v>
      </c>
      <c r="V82">
        <v>267.9579</v>
      </c>
      <c r="W82">
        <v>261.46449999999999</v>
      </c>
      <c r="X82">
        <v>249.60409999999999</v>
      </c>
      <c r="Y82">
        <v>240.5196</v>
      </c>
      <c r="Z82">
        <v>235.92169999999999</v>
      </c>
      <c r="AA82">
        <v>228.5771</v>
      </c>
      <c r="AB82">
        <v>219.88310000000001</v>
      </c>
      <c r="AC82">
        <v>214.6283</v>
      </c>
      <c r="AD82">
        <v>-1.4528669999999999</v>
      </c>
      <c r="AE82">
        <v>-1.1696260000000001</v>
      </c>
      <c r="AF82">
        <v>-1.0249140000000001</v>
      </c>
      <c r="AG82">
        <v>1.012581</v>
      </c>
      <c r="AH82">
        <v>0.30354199999999998</v>
      </c>
      <c r="AI82">
        <v>0.2000731</v>
      </c>
      <c r="AJ82">
        <v>0.4256761</v>
      </c>
      <c r="AK82">
        <v>-1.0756939999999999</v>
      </c>
      <c r="AL82">
        <v>-1.315453</v>
      </c>
      <c r="AM82">
        <v>-0.97266149999999996</v>
      </c>
      <c r="AN82">
        <v>1.3210729999999999</v>
      </c>
      <c r="AO82">
        <v>0.86768250000000002</v>
      </c>
      <c r="AP82">
        <v>4.9984869999999999</v>
      </c>
      <c r="AQ82">
        <v>5.231833</v>
      </c>
      <c r="AR82">
        <v>5.5041690000000001</v>
      </c>
      <c r="AS82">
        <v>5.4459520000000001</v>
      </c>
      <c r="AT82">
        <v>4.0335219999999996</v>
      </c>
      <c r="AU82">
        <v>4.1857579999999999</v>
      </c>
      <c r="AV82">
        <v>1.901435</v>
      </c>
      <c r="AW82">
        <v>1.714712</v>
      </c>
      <c r="AX82">
        <v>-0.4903576</v>
      </c>
      <c r="AY82">
        <v>-1.3722350000000001</v>
      </c>
      <c r="AZ82">
        <v>-1.560036</v>
      </c>
      <c r="BA82">
        <v>-1.215457</v>
      </c>
      <c r="BB82">
        <v>-1.2710440000000001</v>
      </c>
      <c r="BC82">
        <v>-0.99957640000000003</v>
      </c>
      <c r="BD82">
        <v>-0.87889839999999997</v>
      </c>
      <c r="BE82">
        <v>1.15628</v>
      </c>
      <c r="BF82">
        <v>0.42452420000000002</v>
      </c>
      <c r="BG82">
        <v>0.32405659999999997</v>
      </c>
      <c r="BH82">
        <v>0.55304520000000001</v>
      </c>
      <c r="BI82">
        <v>-0.8865111</v>
      </c>
      <c r="BJ82">
        <v>-1.1041190000000001</v>
      </c>
      <c r="BK82">
        <v>-0.7474151</v>
      </c>
      <c r="BL82">
        <v>1.5714239999999999</v>
      </c>
      <c r="BM82">
        <v>1.123523</v>
      </c>
      <c r="BN82">
        <v>5.3847430000000003</v>
      </c>
      <c r="BO82">
        <v>5.7024850000000002</v>
      </c>
      <c r="BP82">
        <v>5.8688320000000003</v>
      </c>
      <c r="BQ82">
        <v>5.7069850000000004</v>
      </c>
      <c r="BR82">
        <v>4.2684009999999999</v>
      </c>
      <c r="BS82">
        <v>4.4147179999999997</v>
      </c>
      <c r="BT82">
        <v>2.1274670000000002</v>
      </c>
      <c r="BU82">
        <v>1.938866</v>
      </c>
      <c r="BV82">
        <v>-0.26965359999999999</v>
      </c>
      <c r="BW82">
        <v>-1.1471830000000001</v>
      </c>
      <c r="BX82">
        <v>-1.3377300000000001</v>
      </c>
      <c r="BY82">
        <v>-0.96820090000000003</v>
      </c>
      <c r="BZ82">
        <v>-1.145114</v>
      </c>
      <c r="CA82">
        <v>-0.8818009</v>
      </c>
      <c r="CB82">
        <v>-0.77776869999999998</v>
      </c>
      <c r="CC82">
        <v>1.255806</v>
      </c>
      <c r="CD82">
        <v>0.50831610000000005</v>
      </c>
      <c r="CE82">
        <v>0.40992709999999999</v>
      </c>
      <c r="CF82">
        <v>0.64126059999999996</v>
      </c>
      <c r="CG82">
        <v>-0.75548340000000003</v>
      </c>
      <c r="CH82">
        <v>-0.9577504</v>
      </c>
      <c r="CI82">
        <v>-0.5914102</v>
      </c>
      <c r="CJ82">
        <v>1.7448159999999999</v>
      </c>
      <c r="CK82">
        <v>1.3007169999999999</v>
      </c>
      <c r="CL82">
        <v>5.6522620000000003</v>
      </c>
      <c r="CM82">
        <v>6.0284570000000004</v>
      </c>
      <c r="CN82">
        <v>6.121397</v>
      </c>
      <c r="CO82">
        <v>5.8877750000000004</v>
      </c>
      <c r="CP82">
        <v>4.4310770000000002</v>
      </c>
      <c r="CQ82">
        <v>4.5732949999999999</v>
      </c>
      <c r="CR82">
        <v>2.2840159999999998</v>
      </c>
      <c r="CS82">
        <v>2.0941139999999998</v>
      </c>
      <c r="CT82">
        <v>-0.1167947</v>
      </c>
      <c r="CU82">
        <v>-0.99131190000000002</v>
      </c>
      <c r="CV82">
        <v>-1.1837610000000001</v>
      </c>
      <c r="CW82">
        <v>-0.7969522</v>
      </c>
      <c r="CX82">
        <v>-1.0191840000000001</v>
      </c>
      <c r="CY82">
        <v>-0.76402539999999997</v>
      </c>
      <c r="CZ82">
        <v>-0.67663899999999999</v>
      </c>
      <c r="DA82">
        <v>1.355332</v>
      </c>
      <c r="DB82">
        <v>0.59210799999999997</v>
      </c>
      <c r="DC82">
        <v>0.49579770000000001</v>
      </c>
      <c r="DD82">
        <v>0.72947609999999996</v>
      </c>
      <c r="DE82">
        <v>-0.6244556</v>
      </c>
      <c r="DF82">
        <v>-0.81138149999999998</v>
      </c>
      <c r="DG82">
        <v>-0.4354053</v>
      </c>
      <c r="DH82">
        <v>1.9182090000000001</v>
      </c>
      <c r="DI82">
        <v>1.477911</v>
      </c>
      <c r="DJ82">
        <v>5.9197810000000004</v>
      </c>
      <c r="DK82">
        <v>6.3544289999999997</v>
      </c>
      <c r="DL82">
        <v>6.3739619999999997</v>
      </c>
      <c r="DM82">
        <v>6.0685650000000004</v>
      </c>
      <c r="DN82">
        <v>4.5937530000000004</v>
      </c>
      <c r="DO82">
        <v>4.7318720000000001</v>
      </c>
      <c r="DP82">
        <v>2.4405649999999999</v>
      </c>
      <c r="DQ82">
        <v>2.2493620000000001</v>
      </c>
      <c r="DR82">
        <v>3.6064199999999998E-2</v>
      </c>
      <c r="DS82">
        <v>-0.83544119999999999</v>
      </c>
      <c r="DT82">
        <v>-1.029793</v>
      </c>
      <c r="DU82">
        <v>-0.62570349999999997</v>
      </c>
      <c r="DV82">
        <v>-0.83736169999999999</v>
      </c>
      <c r="DW82">
        <v>-0.59397630000000001</v>
      </c>
      <c r="DX82">
        <v>-0.53062370000000003</v>
      </c>
      <c r="DY82">
        <v>1.499031</v>
      </c>
      <c r="DZ82">
        <v>0.71309009999999995</v>
      </c>
      <c r="EA82">
        <v>0.61978109999999997</v>
      </c>
      <c r="EB82">
        <v>0.85684519999999997</v>
      </c>
      <c r="EC82">
        <v>-0.4352723</v>
      </c>
      <c r="ED82">
        <v>-0.60004789999999997</v>
      </c>
      <c r="EE82">
        <v>-0.21015900000000001</v>
      </c>
      <c r="EF82">
        <v>2.1685599999999998</v>
      </c>
      <c r="EG82">
        <v>1.733752</v>
      </c>
      <c r="EH82">
        <v>6.3060359999999998</v>
      </c>
      <c r="EI82">
        <v>6.8250799999999998</v>
      </c>
      <c r="EJ82">
        <v>6.7386249999999999</v>
      </c>
      <c r="EK82">
        <v>6.3295979999999998</v>
      </c>
      <c r="EL82">
        <v>4.8286319999999998</v>
      </c>
      <c r="EM82">
        <v>4.9608319999999999</v>
      </c>
      <c r="EN82">
        <v>2.6665969999999999</v>
      </c>
      <c r="EO82">
        <v>2.473516</v>
      </c>
      <c r="EP82">
        <v>0.2567682</v>
      </c>
      <c r="EQ82">
        <v>-0.61038879999999995</v>
      </c>
      <c r="ER82">
        <v>-0.8074865</v>
      </c>
      <c r="ES82">
        <v>-0.3784476</v>
      </c>
      <c r="ET82">
        <v>61.272689999999997</v>
      </c>
      <c r="EU82">
        <v>60.312950000000001</v>
      </c>
      <c r="EV82">
        <v>59.41093</v>
      </c>
      <c r="EW82">
        <v>59.460259999999998</v>
      </c>
      <c r="EX82">
        <v>59.468769999999999</v>
      </c>
      <c r="EY82">
        <v>59.181440000000002</v>
      </c>
      <c r="EZ82">
        <v>59.535269999999997</v>
      </c>
      <c r="FA82">
        <v>60.517029999999998</v>
      </c>
      <c r="FB82">
        <v>62.155679999999997</v>
      </c>
      <c r="FC82">
        <v>65.569050000000004</v>
      </c>
      <c r="FD82">
        <v>67.84666</v>
      </c>
      <c r="FE82">
        <v>70.648480000000006</v>
      </c>
      <c r="FF82">
        <v>73.019810000000007</v>
      </c>
      <c r="FG82">
        <v>75.442850000000007</v>
      </c>
      <c r="FH82">
        <v>76.297539999999998</v>
      </c>
      <c r="FI82">
        <v>75.767650000000003</v>
      </c>
      <c r="FJ82">
        <v>76.370040000000003</v>
      </c>
      <c r="FK82">
        <v>77.143690000000007</v>
      </c>
      <c r="FL82">
        <v>76.05153</v>
      </c>
      <c r="FM82">
        <v>74.439459999999997</v>
      </c>
      <c r="FN82">
        <v>71.39855</v>
      </c>
      <c r="FO82">
        <v>67.359009999999998</v>
      </c>
      <c r="FP82">
        <v>65.173490000000001</v>
      </c>
      <c r="FQ82">
        <v>63.571640000000002</v>
      </c>
      <c r="FR82">
        <v>1</v>
      </c>
      <c r="FT82" s="44"/>
    </row>
    <row r="83" spans="1:176" x14ac:dyDescent="0.2">
      <c r="A83" t="s">
        <v>191</v>
      </c>
      <c r="B83" t="s">
        <v>1</v>
      </c>
      <c r="C83" s="70">
        <v>41834</v>
      </c>
      <c r="D83">
        <v>0</v>
      </c>
      <c r="E83" s="70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T83" s="44"/>
    </row>
    <row r="84" spans="1:176" x14ac:dyDescent="0.2">
      <c r="A84" t="s">
        <v>191</v>
      </c>
      <c r="B84" t="s">
        <v>1</v>
      </c>
      <c r="C84" s="70">
        <v>41848</v>
      </c>
      <c r="D84">
        <v>51</v>
      </c>
      <c r="E84" s="70">
        <v>417</v>
      </c>
      <c r="F84">
        <v>206.26320000000001</v>
      </c>
      <c r="G84">
        <v>205.87870000000001</v>
      </c>
      <c r="H84">
        <v>205.5556</v>
      </c>
      <c r="I84">
        <v>207.02529999999999</v>
      </c>
      <c r="J84">
        <v>211.6832</v>
      </c>
      <c r="K84">
        <v>219.76759999999999</v>
      </c>
      <c r="L84">
        <v>230.52600000000001</v>
      </c>
      <c r="M84">
        <v>240.61519999999999</v>
      </c>
      <c r="N84">
        <v>252.66990000000001</v>
      </c>
      <c r="O84">
        <v>263.69869999999997</v>
      </c>
      <c r="P84">
        <v>270.7398</v>
      </c>
      <c r="Q84">
        <v>276.48309999999998</v>
      </c>
      <c r="R84">
        <v>279.96980000000002</v>
      </c>
      <c r="S84">
        <v>283.9889</v>
      </c>
      <c r="T84">
        <v>285.84480000000002</v>
      </c>
      <c r="U84">
        <v>282.78309999999999</v>
      </c>
      <c r="V84">
        <v>277.41230000000002</v>
      </c>
      <c r="W84">
        <v>266.7799</v>
      </c>
      <c r="X84">
        <v>252.6431</v>
      </c>
      <c r="Y84">
        <v>241.13390000000001</v>
      </c>
      <c r="Z84">
        <v>236.5138</v>
      </c>
      <c r="AA84">
        <v>229.1925</v>
      </c>
      <c r="AB84">
        <v>223.0857</v>
      </c>
      <c r="AC84">
        <v>218.78700000000001</v>
      </c>
      <c r="AD84">
        <v>-1.051493</v>
      </c>
      <c r="AE84">
        <v>-0.72801819999999995</v>
      </c>
      <c r="AF84">
        <v>-0.23346149999999999</v>
      </c>
      <c r="AG84">
        <v>-1.0573349999999999</v>
      </c>
      <c r="AH84">
        <v>-1.02582</v>
      </c>
      <c r="AI84">
        <v>-1.339175</v>
      </c>
      <c r="AJ84">
        <v>-0.85837289999999999</v>
      </c>
      <c r="AK84">
        <v>-0.62753990000000004</v>
      </c>
      <c r="AL84">
        <v>0.59460440000000003</v>
      </c>
      <c r="AM84">
        <v>5.4898799999999998E-2</v>
      </c>
      <c r="AN84">
        <v>0.80100039999999995</v>
      </c>
      <c r="AO84">
        <v>2.191309</v>
      </c>
      <c r="AP84">
        <v>8.0722539999999992</v>
      </c>
      <c r="AQ84">
        <v>7.7090199999999998</v>
      </c>
      <c r="AR84">
        <v>7.0728929999999997</v>
      </c>
      <c r="AS84">
        <v>6.75671</v>
      </c>
      <c r="AT84">
        <v>6.1543640000000002</v>
      </c>
      <c r="AU84">
        <v>3.9112849999999999</v>
      </c>
      <c r="AV84">
        <v>3.673181</v>
      </c>
      <c r="AW84">
        <v>2.77549</v>
      </c>
      <c r="AX84">
        <v>0.57582690000000003</v>
      </c>
      <c r="AY84">
        <v>0.3404161</v>
      </c>
      <c r="AZ84">
        <v>0.37474160000000001</v>
      </c>
      <c r="BA84">
        <v>0.2476873</v>
      </c>
      <c r="BB84">
        <v>-0.85870389999999996</v>
      </c>
      <c r="BC84">
        <v>-0.54211869999999995</v>
      </c>
      <c r="BD84">
        <v>-9.8461000000000007E-2</v>
      </c>
      <c r="BE84">
        <v>-0.90236289999999997</v>
      </c>
      <c r="BF84">
        <v>-0.89802009999999999</v>
      </c>
      <c r="BG84">
        <v>-1.183818</v>
      </c>
      <c r="BH84">
        <v>-0.7181942</v>
      </c>
      <c r="BI84">
        <v>-0.44474190000000002</v>
      </c>
      <c r="BJ84">
        <v>0.8023595</v>
      </c>
      <c r="BK84">
        <v>0.278165</v>
      </c>
      <c r="BL84">
        <v>1.045318</v>
      </c>
      <c r="BM84">
        <v>2.4332729999999998</v>
      </c>
      <c r="BN84">
        <v>8.3860019999999995</v>
      </c>
      <c r="BO84">
        <v>8.0453039999999998</v>
      </c>
      <c r="BP84">
        <v>7.3511300000000004</v>
      </c>
      <c r="BQ84">
        <v>6.984756</v>
      </c>
      <c r="BR84">
        <v>6.3686059999999998</v>
      </c>
      <c r="BS84">
        <v>4.131265</v>
      </c>
      <c r="BT84">
        <v>3.875683</v>
      </c>
      <c r="BU84">
        <v>2.984575</v>
      </c>
      <c r="BV84">
        <v>0.80049199999999998</v>
      </c>
      <c r="BW84">
        <v>0.54737449999999999</v>
      </c>
      <c r="BX84">
        <v>0.56878039999999996</v>
      </c>
      <c r="BY84">
        <v>0.45051930000000001</v>
      </c>
      <c r="BZ84">
        <v>-0.7251784</v>
      </c>
      <c r="CA84">
        <v>-0.41336519999999999</v>
      </c>
      <c r="CB84">
        <v>-4.96E-3</v>
      </c>
      <c r="CC84">
        <v>-0.79502989999999996</v>
      </c>
      <c r="CD84">
        <v>-0.80950639999999996</v>
      </c>
      <c r="CE84">
        <v>-1.076219</v>
      </c>
      <c r="CF84">
        <v>-0.62110679999999996</v>
      </c>
      <c r="CG84">
        <v>-0.31813649999999999</v>
      </c>
      <c r="CH84">
        <v>0.94625009999999998</v>
      </c>
      <c r="CI84">
        <v>0.43279859999999998</v>
      </c>
      <c r="CJ84">
        <v>1.214531</v>
      </c>
      <c r="CK84">
        <v>2.600857</v>
      </c>
      <c r="CL84">
        <v>8.6033030000000004</v>
      </c>
      <c r="CM84">
        <v>8.2782140000000002</v>
      </c>
      <c r="CN84">
        <v>7.5438359999999998</v>
      </c>
      <c r="CO84">
        <v>7.1426999999999996</v>
      </c>
      <c r="CP84">
        <v>6.5169879999999996</v>
      </c>
      <c r="CQ84">
        <v>4.2836230000000004</v>
      </c>
      <c r="CR84">
        <v>4.0159349999999998</v>
      </c>
      <c r="CS84">
        <v>3.1293869999999999</v>
      </c>
      <c r="CT84">
        <v>0.95609440000000001</v>
      </c>
      <c r="CU84">
        <v>0.69071320000000003</v>
      </c>
      <c r="CV84">
        <v>0.70317099999999999</v>
      </c>
      <c r="CW84">
        <v>0.59100010000000003</v>
      </c>
      <c r="CX84">
        <v>-0.59165290000000004</v>
      </c>
      <c r="CY84">
        <v>-0.28461180000000003</v>
      </c>
      <c r="CZ84">
        <v>8.8540900000000006E-2</v>
      </c>
      <c r="DA84">
        <v>-0.68769690000000006</v>
      </c>
      <c r="DB84">
        <v>-0.72099270000000004</v>
      </c>
      <c r="DC84">
        <v>-0.96861920000000001</v>
      </c>
      <c r="DD84">
        <v>-0.52401940000000002</v>
      </c>
      <c r="DE84">
        <v>-0.19153120000000001</v>
      </c>
      <c r="DF84">
        <v>1.090141</v>
      </c>
      <c r="DG84">
        <v>0.58743210000000001</v>
      </c>
      <c r="DH84">
        <v>1.383745</v>
      </c>
      <c r="DI84">
        <v>2.7684410000000002</v>
      </c>
      <c r="DJ84">
        <v>8.8206039999999994</v>
      </c>
      <c r="DK84">
        <v>8.5111229999999995</v>
      </c>
      <c r="DL84">
        <v>7.736542</v>
      </c>
      <c r="DM84">
        <v>7.3006440000000001</v>
      </c>
      <c r="DN84">
        <v>6.6653710000000004</v>
      </c>
      <c r="DO84">
        <v>4.435981</v>
      </c>
      <c r="DP84">
        <v>4.1561870000000001</v>
      </c>
      <c r="DQ84">
        <v>3.2741980000000002</v>
      </c>
      <c r="DR84">
        <v>1.1116969999999999</v>
      </c>
      <c r="DS84">
        <v>0.83405200000000002</v>
      </c>
      <c r="DT84">
        <v>0.83756169999999996</v>
      </c>
      <c r="DU84">
        <v>0.73148100000000005</v>
      </c>
      <c r="DV84">
        <v>-0.39886329999999998</v>
      </c>
      <c r="DW84">
        <v>-9.87122E-2</v>
      </c>
      <c r="DX84">
        <v>0.2235415</v>
      </c>
      <c r="DY84">
        <v>-0.53272520000000001</v>
      </c>
      <c r="DZ84">
        <v>-0.59319310000000003</v>
      </c>
      <c r="EA84">
        <v>-0.8132625</v>
      </c>
      <c r="EB84">
        <v>-0.38384069999999998</v>
      </c>
      <c r="EC84">
        <v>-8.7332E-3</v>
      </c>
      <c r="ED84">
        <v>1.2978959999999999</v>
      </c>
      <c r="EE84">
        <v>0.81069840000000004</v>
      </c>
      <c r="EF84">
        <v>1.6280619999999999</v>
      </c>
      <c r="EG84">
        <v>3.010405</v>
      </c>
      <c r="EH84">
        <v>9.1343519999999998</v>
      </c>
      <c r="EI84">
        <v>8.8474059999999994</v>
      </c>
      <c r="EJ84">
        <v>8.0147779999999997</v>
      </c>
      <c r="EK84">
        <v>7.5286910000000002</v>
      </c>
      <c r="EL84">
        <v>6.8796119999999998</v>
      </c>
      <c r="EM84">
        <v>4.6559619999999997</v>
      </c>
      <c r="EN84">
        <v>4.358689</v>
      </c>
      <c r="EO84">
        <v>3.4832839999999998</v>
      </c>
      <c r="EP84">
        <v>1.336362</v>
      </c>
      <c r="EQ84">
        <v>1.04101</v>
      </c>
      <c r="ER84">
        <v>1.0316000000000001</v>
      </c>
      <c r="ES84">
        <v>0.9343129</v>
      </c>
      <c r="ET84">
        <v>64.681359999999998</v>
      </c>
      <c r="EU84">
        <v>64.137309999999999</v>
      </c>
      <c r="EV84">
        <v>63.520449999999997</v>
      </c>
      <c r="EW84">
        <v>62.481490000000001</v>
      </c>
      <c r="EX84">
        <v>62.276159999999997</v>
      </c>
      <c r="EY84">
        <v>62.366709999999998</v>
      </c>
      <c r="EZ84">
        <v>62.45731</v>
      </c>
      <c r="FA84">
        <v>63.152560000000001</v>
      </c>
      <c r="FB84">
        <v>65.180989999999994</v>
      </c>
      <c r="FC84">
        <v>67.973529999999997</v>
      </c>
      <c r="FD84">
        <v>70.958110000000005</v>
      </c>
      <c r="FE84">
        <v>74.494150000000005</v>
      </c>
      <c r="FF84">
        <v>77.774680000000004</v>
      </c>
      <c r="FG84">
        <v>79.60181</v>
      </c>
      <c r="FH84">
        <v>79.468000000000004</v>
      </c>
      <c r="FI84">
        <v>78.791679999999999</v>
      </c>
      <c r="FJ84">
        <v>77.438479999999998</v>
      </c>
      <c r="FK84">
        <v>77.332849999999993</v>
      </c>
      <c r="FL84">
        <v>75.947649999999996</v>
      </c>
      <c r="FM84">
        <v>73.075779999999995</v>
      </c>
      <c r="FN84">
        <v>70.122169999999997</v>
      </c>
      <c r="FO84">
        <v>67.992099999999994</v>
      </c>
      <c r="FP84">
        <v>67.293459999999996</v>
      </c>
      <c r="FQ84">
        <v>66.415509999999998</v>
      </c>
      <c r="FR84">
        <v>1</v>
      </c>
      <c r="FT84" s="44"/>
    </row>
    <row r="85" spans="1:176" x14ac:dyDescent="0.2">
      <c r="A85" t="s">
        <v>191</v>
      </c>
      <c r="B85" t="s">
        <v>1</v>
      </c>
      <c r="C85" s="70">
        <v>41849</v>
      </c>
      <c r="D85">
        <v>41</v>
      </c>
      <c r="E85" s="70">
        <v>417</v>
      </c>
      <c r="F85">
        <v>215.61170000000001</v>
      </c>
      <c r="G85">
        <v>213.43729999999999</v>
      </c>
      <c r="H85">
        <v>212.05250000000001</v>
      </c>
      <c r="I85">
        <v>210.93719999999999</v>
      </c>
      <c r="J85">
        <v>215.32069999999999</v>
      </c>
      <c r="K85">
        <v>222.95849999999999</v>
      </c>
      <c r="L85">
        <v>232.3135</v>
      </c>
      <c r="M85">
        <v>243.1729</v>
      </c>
      <c r="N85">
        <v>256.19369999999998</v>
      </c>
      <c r="O85">
        <v>267.4547</v>
      </c>
      <c r="P85">
        <v>275.3417</v>
      </c>
      <c r="Q85">
        <v>280.06819999999999</v>
      </c>
      <c r="R85">
        <v>283.09449999999998</v>
      </c>
      <c r="S85">
        <v>285.1583</v>
      </c>
      <c r="T85">
        <v>286.238</v>
      </c>
      <c r="U85">
        <v>286.5967</v>
      </c>
      <c r="V85">
        <v>282.18130000000002</v>
      </c>
      <c r="W85">
        <v>272.9171</v>
      </c>
      <c r="X85">
        <v>257.25200000000001</v>
      </c>
      <c r="Y85">
        <v>244.92359999999999</v>
      </c>
      <c r="Z85">
        <v>238.8888</v>
      </c>
      <c r="AA85">
        <v>232.4556</v>
      </c>
      <c r="AB85">
        <v>225.9049</v>
      </c>
      <c r="AC85">
        <v>221.64349999999999</v>
      </c>
      <c r="AD85">
        <v>7.7767000000000001E-3</v>
      </c>
      <c r="AE85">
        <v>-0.52271040000000002</v>
      </c>
      <c r="AF85">
        <v>-0.14156650000000001</v>
      </c>
      <c r="AG85">
        <v>0.22378339999999999</v>
      </c>
      <c r="AH85">
        <v>0.13774990000000001</v>
      </c>
      <c r="AI85">
        <v>-0.86095460000000001</v>
      </c>
      <c r="AJ85">
        <v>-0.33242929999999998</v>
      </c>
      <c r="AK85">
        <v>-0.86382060000000005</v>
      </c>
      <c r="AL85">
        <v>0.34897020000000001</v>
      </c>
      <c r="AM85">
        <v>-8.5676999999999993E-3</v>
      </c>
      <c r="AN85">
        <v>7.7917399999999998E-2</v>
      </c>
      <c r="AO85">
        <v>1.6348180000000001</v>
      </c>
      <c r="AP85">
        <v>7.7147560000000004</v>
      </c>
      <c r="AQ85">
        <v>8.3239099999999997</v>
      </c>
      <c r="AR85">
        <v>7.2551290000000002</v>
      </c>
      <c r="AS85">
        <v>6.9140759999999997</v>
      </c>
      <c r="AT85">
        <v>3.5506500000000001</v>
      </c>
      <c r="AU85">
        <v>2.2803040000000001</v>
      </c>
      <c r="AV85">
        <v>1.4942899999999999</v>
      </c>
      <c r="AW85">
        <v>1.8787849999999999</v>
      </c>
      <c r="AX85">
        <v>1.83168</v>
      </c>
      <c r="AY85">
        <v>1.84087</v>
      </c>
      <c r="AZ85">
        <v>1.489379</v>
      </c>
      <c r="BA85">
        <v>1.8918440000000001</v>
      </c>
      <c r="BB85">
        <v>0.1291417</v>
      </c>
      <c r="BC85">
        <v>-0.39871410000000002</v>
      </c>
      <c r="BD85">
        <v>-4.9979599999999999E-2</v>
      </c>
      <c r="BE85">
        <v>0.32275389999999998</v>
      </c>
      <c r="BF85">
        <v>0.22189429999999999</v>
      </c>
      <c r="BG85">
        <v>-0.75915290000000002</v>
      </c>
      <c r="BH85">
        <v>-0.21746299999999999</v>
      </c>
      <c r="BI85">
        <v>-0.6724116</v>
      </c>
      <c r="BJ85">
        <v>0.46895710000000002</v>
      </c>
      <c r="BK85">
        <v>0.1331629</v>
      </c>
      <c r="BL85">
        <v>0.2317032</v>
      </c>
      <c r="BM85">
        <v>1.7987519999999999</v>
      </c>
      <c r="BN85">
        <v>7.8897690000000003</v>
      </c>
      <c r="BO85">
        <v>8.5063030000000008</v>
      </c>
      <c r="BP85">
        <v>7.4787319999999999</v>
      </c>
      <c r="BQ85">
        <v>7.144838</v>
      </c>
      <c r="BR85">
        <v>3.7362709999999999</v>
      </c>
      <c r="BS85">
        <v>2.4543789999999999</v>
      </c>
      <c r="BT85">
        <v>1.6418349999999999</v>
      </c>
      <c r="BU85">
        <v>2.0127350000000002</v>
      </c>
      <c r="BV85">
        <v>1.985007</v>
      </c>
      <c r="BW85">
        <v>1.990116</v>
      </c>
      <c r="BX85">
        <v>1.6409879999999999</v>
      </c>
      <c r="BY85">
        <v>2.042815</v>
      </c>
      <c r="BZ85">
        <v>0.21319879999999999</v>
      </c>
      <c r="CA85">
        <v>-0.31283450000000002</v>
      </c>
      <c r="CB85">
        <v>1.34532E-2</v>
      </c>
      <c r="CC85">
        <v>0.3913006</v>
      </c>
      <c r="CD85">
        <v>0.28017249999999999</v>
      </c>
      <c r="CE85">
        <v>-0.68864539999999996</v>
      </c>
      <c r="CF85">
        <v>-0.13783770000000001</v>
      </c>
      <c r="CG85">
        <v>-0.53984220000000005</v>
      </c>
      <c r="CH85">
        <v>0.55205970000000004</v>
      </c>
      <c r="CI85">
        <v>0.23132510000000001</v>
      </c>
      <c r="CJ85">
        <v>0.33821479999999998</v>
      </c>
      <c r="CK85">
        <v>1.9122920000000001</v>
      </c>
      <c r="CL85">
        <v>8.0109829999999995</v>
      </c>
      <c r="CM85">
        <v>8.6326280000000004</v>
      </c>
      <c r="CN85">
        <v>7.6335990000000002</v>
      </c>
      <c r="CO85">
        <v>7.3046620000000004</v>
      </c>
      <c r="CP85">
        <v>3.8648310000000001</v>
      </c>
      <c r="CQ85">
        <v>2.5749420000000001</v>
      </c>
      <c r="CR85">
        <v>1.744024</v>
      </c>
      <c r="CS85">
        <v>2.1055069999999998</v>
      </c>
      <c r="CT85">
        <v>2.091202</v>
      </c>
      <c r="CU85">
        <v>2.0934840000000001</v>
      </c>
      <c r="CV85">
        <v>1.7459910000000001</v>
      </c>
      <c r="CW85">
        <v>2.1473770000000001</v>
      </c>
      <c r="CX85">
        <v>0.29725580000000001</v>
      </c>
      <c r="CY85">
        <v>-0.22695499999999999</v>
      </c>
      <c r="CZ85">
        <v>7.6885999999999996E-2</v>
      </c>
      <c r="DA85">
        <v>0.45984730000000001</v>
      </c>
      <c r="DB85">
        <v>0.33845069999999999</v>
      </c>
      <c r="DC85">
        <v>-0.61813779999999996</v>
      </c>
      <c r="DD85">
        <v>-5.8212399999999997E-2</v>
      </c>
      <c r="DE85">
        <v>-0.407273</v>
      </c>
      <c r="DF85">
        <v>0.63516229999999996</v>
      </c>
      <c r="DG85">
        <v>0.32948729999999998</v>
      </c>
      <c r="DH85">
        <v>0.44472630000000002</v>
      </c>
      <c r="DI85">
        <v>2.025833</v>
      </c>
      <c r="DJ85">
        <v>8.1321960000000004</v>
      </c>
      <c r="DK85">
        <v>8.7589539999999992</v>
      </c>
      <c r="DL85">
        <v>7.7884650000000004</v>
      </c>
      <c r="DM85">
        <v>7.4644870000000001</v>
      </c>
      <c r="DN85">
        <v>3.9933920000000001</v>
      </c>
      <c r="DO85">
        <v>2.6955049999999998</v>
      </c>
      <c r="DP85">
        <v>1.8462130000000001</v>
      </c>
      <c r="DQ85">
        <v>2.19828</v>
      </c>
      <c r="DR85">
        <v>2.1973959999999999</v>
      </c>
      <c r="DS85">
        <v>2.1968510000000001</v>
      </c>
      <c r="DT85">
        <v>1.8509949999999999</v>
      </c>
      <c r="DU85">
        <v>2.2519399999999998</v>
      </c>
      <c r="DV85">
        <v>0.41862090000000002</v>
      </c>
      <c r="DW85">
        <v>-0.1029586</v>
      </c>
      <c r="DX85">
        <v>0.16847290000000001</v>
      </c>
      <c r="DY85">
        <v>0.55881780000000003</v>
      </c>
      <c r="DZ85">
        <v>0.4225951</v>
      </c>
      <c r="EA85">
        <v>-0.51633609999999996</v>
      </c>
      <c r="EB85">
        <v>5.6753900000000003E-2</v>
      </c>
      <c r="EC85">
        <v>-0.215864</v>
      </c>
      <c r="ED85">
        <v>0.75514919999999996</v>
      </c>
      <c r="EE85">
        <v>0.47121800000000003</v>
      </c>
      <c r="EF85">
        <v>0.59851209999999999</v>
      </c>
      <c r="EG85">
        <v>2.1897669999999998</v>
      </c>
      <c r="EH85">
        <v>8.3072090000000003</v>
      </c>
      <c r="EI85">
        <v>8.9413470000000004</v>
      </c>
      <c r="EJ85">
        <v>8.0120690000000003</v>
      </c>
      <c r="EK85">
        <v>7.6952480000000003</v>
      </c>
      <c r="EL85">
        <v>4.1790120000000002</v>
      </c>
      <c r="EM85">
        <v>2.86958</v>
      </c>
      <c r="EN85">
        <v>1.9937579999999999</v>
      </c>
      <c r="EO85">
        <v>2.3322289999999999</v>
      </c>
      <c r="EP85">
        <v>2.3507229999999999</v>
      </c>
      <c r="EQ85">
        <v>2.3460969999999999</v>
      </c>
      <c r="ER85">
        <v>2.0026030000000001</v>
      </c>
      <c r="ES85">
        <v>2.402911</v>
      </c>
      <c r="ET85">
        <v>66.038610000000006</v>
      </c>
      <c r="EU85">
        <v>65.461489999999998</v>
      </c>
      <c r="EV85">
        <v>65.174130000000005</v>
      </c>
      <c r="EW85">
        <v>64.748149999999995</v>
      </c>
      <c r="EX85">
        <v>64.019559999999998</v>
      </c>
      <c r="EY85">
        <v>63.739150000000002</v>
      </c>
      <c r="EZ85">
        <v>63.094410000000003</v>
      </c>
      <c r="FA85">
        <v>64.06908</v>
      </c>
      <c r="FB85">
        <v>66.258210000000005</v>
      </c>
      <c r="FC85">
        <v>69.150009999999995</v>
      </c>
      <c r="FD85">
        <v>73.155299999999997</v>
      </c>
      <c r="FE85">
        <v>76.405779999999993</v>
      </c>
      <c r="FF85">
        <v>78.575829999999996</v>
      </c>
      <c r="FG85">
        <v>81.022509999999997</v>
      </c>
      <c r="FH85">
        <v>82.548019999999994</v>
      </c>
      <c r="FI85">
        <v>84.114329999999995</v>
      </c>
      <c r="FJ85">
        <v>84.063919999999996</v>
      </c>
      <c r="FK85">
        <v>83.777159999999995</v>
      </c>
      <c r="FL85">
        <v>81.003810000000001</v>
      </c>
      <c r="FM85">
        <v>76.615759999999995</v>
      </c>
      <c r="FN85">
        <v>72.674260000000004</v>
      </c>
      <c r="FO85">
        <v>69.848560000000006</v>
      </c>
      <c r="FP85">
        <v>67.888369999999995</v>
      </c>
      <c r="FQ85">
        <v>66.918930000000003</v>
      </c>
      <c r="FR85">
        <v>1</v>
      </c>
      <c r="FT85" s="44"/>
    </row>
    <row r="86" spans="1:176" x14ac:dyDescent="0.2">
      <c r="A86" t="s">
        <v>191</v>
      </c>
      <c r="B86" t="s">
        <v>1</v>
      </c>
      <c r="C86" s="70">
        <v>41850</v>
      </c>
      <c r="D86">
        <v>54</v>
      </c>
      <c r="E86" s="70">
        <v>417</v>
      </c>
      <c r="F86">
        <v>216.29300000000001</v>
      </c>
      <c r="G86">
        <v>213.84100000000001</v>
      </c>
      <c r="H86">
        <v>211.59379999999999</v>
      </c>
      <c r="I86">
        <v>211.0659</v>
      </c>
      <c r="J86">
        <v>214.15870000000001</v>
      </c>
      <c r="K86">
        <v>221.02529999999999</v>
      </c>
      <c r="L86">
        <v>230.69829999999999</v>
      </c>
      <c r="M86">
        <v>239.21209999999999</v>
      </c>
      <c r="N86">
        <v>252.68170000000001</v>
      </c>
      <c r="O86">
        <v>263.07369999999997</v>
      </c>
      <c r="P86">
        <v>269.89210000000003</v>
      </c>
      <c r="Q86">
        <v>275.24650000000003</v>
      </c>
      <c r="R86">
        <v>279.39089999999999</v>
      </c>
      <c r="S86">
        <v>282.7921</v>
      </c>
      <c r="T86">
        <v>285.53370000000001</v>
      </c>
      <c r="U86">
        <v>286.38189999999997</v>
      </c>
      <c r="V86">
        <v>283.68020000000001</v>
      </c>
      <c r="W86">
        <v>274.00819999999999</v>
      </c>
      <c r="X86">
        <v>258.7106</v>
      </c>
      <c r="Y86">
        <v>244.7543</v>
      </c>
      <c r="Z86">
        <v>239.35339999999999</v>
      </c>
      <c r="AA86">
        <v>231.6431</v>
      </c>
      <c r="AB86">
        <v>224.1772</v>
      </c>
      <c r="AC86">
        <v>219.26650000000001</v>
      </c>
      <c r="AD86">
        <v>-0.4813656</v>
      </c>
      <c r="AE86">
        <v>-0.1131363</v>
      </c>
      <c r="AF86">
        <v>2.7000699999999999E-2</v>
      </c>
      <c r="AG86">
        <v>-6.7492800000000006E-2</v>
      </c>
      <c r="AH86">
        <v>-0.80869310000000005</v>
      </c>
      <c r="AI86">
        <v>-1.7094659999999999</v>
      </c>
      <c r="AJ86">
        <v>-1.550624</v>
      </c>
      <c r="AK86">
        <v>-0.98077110000000001</v>
      </c>
      <c r="AL86">
        <v>0.15753919999999999</v>
      </c>
      <c r="AM86">
        <v>0.1131482</v>
      </c>
      <c r="AN86">
        <v>-1.099532</v>
      </c>
      <c r="AO86">
        <v>-0.48318729999999999</v>
      </c>
      <c r="AP86">
        <v>3.8231259999999998</v>
      </c>
      <c r="AQ86">
        <v>4.3985370000000001</v>
      </c>
      <c r="AR86">
        <v>4.1667180000000004</v>
      </c>
      <c r="AS86">
        <v>6.3543130000000003</v>
      </c>
      <c r="AT86">
        <v>5.7984249999999999</v>
      </c>
      <c r="AU86">
        <v>4.6716660000000001</v>
      </c>
      <c r="AV86">
        <v>4.0885850000000001</v>
      </c>
      <c r="AW86">
        <v>3.85154</v>
      </c>
      <c r="AX86">
        <v>0.4012288</v>
      </c>
      <c r="AY86">
        <v>-5.4299500000000001E-2</v>
      </c>
      <c r="AZ86">
        <v>-1.8806400000000001E-2</v>
      </c>
      <c r="BA86">
        <v>5.5639300000000003E-2</v>
      </c>
      <c r="BB86">
        <v>-0.32568320000000001</v>
      </c>
      <c r="BC86">
        <v>2.6303799999999999E-2</v>
      </c>
      <c r="BD86">
        <v>0.1375538</v>
      </c>
      <c r="BE86">
        <v>4.0896399999999999E-2</v>
      </c>
      <c r="BF86">
        <v>-0.70760179999999995</v>
      </c>
      <c r="BG86">
        <v>-1.557734</v>
      </c>
      <c r="BH86">
        <v>-1.4275059999999999</v>
      </c>
      <c r="BI86">
        <v>-0.78691330000000004</v>
      </c>
      <c r="BJ86">
        <v>0.30226750000000002</v>
      </c>
      <c r="BK86">
        <v>0.27701550000000003</v>
      </c>
      <c r="BL86">
        <v>-0.92147420000000002</v>
      </c>
      <c r="BM86">
        <v>-0.3055601</v>
      </c>
      <c r="BN86">
        <v>4.0527879999999996</v>
      </c>
      <c r="BO86">
        <v>4.6317830000000004</v>
      </c>
      <c r="BP86">
        <v>4.3684690000000002</v>
      </c>
      <c r="BQ86">
        <v>6.6009190000000002</v>
      </c>
      <c r="BR86">
        <v>5.9886739999999996</v>
      </c>
      <c r="BS86">
        <v>4.851788</v>
      </c>
      <c r="BT86">
        <v>4.2579050000000001</v>
      </c>
      <c r="BU86">
        <v>4.0131350000000001</v>
      </c>
      <c r="BV86">
        <v>0.57427070000000002</v>
      </c>
      <c r="BW86">
        <v>0.1062347</v>
      </c>
      <c r="BX86">
        <v>0.1317817</v>
      </c>
      <c r="BY86">
        <v>0.2001233</v>
      </c>
      <c r="BZ86">
        <v>-0.2178581</v>
      </c>
      <c r="CA86">
        <v>0.12287969999999999</v>
      </c>
      <c r="CB86">
        <v>0.2141226</v>
      </c>
      <c r="CC86">
        <v>0.1159664</v>
      </c>
      <c r="CD86">
        <v>-0.63758630000000005</v>
      </c>
      <c r="CE86">
        <v>-1.452644</v>
      </c>
      <c r="CF86">
        <v>-1.342236</v>
      </c>
      <c r="CG86">
        <v>-0.65264800000000001</v>
      </c>
      <c r="CH86">
        <v>0.40250590000000003</v>
      </c>
      <c r="CI86">
        <v>0.39050950000000001</v>
      </c>
      <c r="CJ86">
        <v>-0.79815190000000003</v>
      </c>
      <c r="CK86">
        <v>-0.18253610000000001</v>
      </c>
      <c r="CL86">
        <v>4.2118510000000002</v>
      </c>
      <c r="CM86">
        <v>4.7933279999999998</v>
      </c>
      <c r="CN86">
        <v>4.5082019999999998</v>
      </c>
      <c r="CO86">
        <v>6.7717169999999998</v>
      </c>
      <c r="CP86">
        <v>6.1204400000000003</v>
      </c>
      <c r="CQ86">
        <v>4.97654</v>
      </c>
      <c r="CR86">
        <v>4.3751749999999996</v>
      </c>
      <c r="CS86">
        <v>4.1250549999999997</v>
      </c>
      <c r="CT86">
        <v>0.69411889999999998</v>
      </c>
      <c r="CU86">
        <v>0.21742030000000001</v>
      </c>
      <c r="CV86">
        <v>0.2360786</v>
      </c>
      <c r="CW86">
        <v>0.30019249999999997</v>
      </c>
      <c r="CX86">
        <v>-0.11003300000000001</v>
      </c>
      <c r="CY86">
        <v>0.2194555</v>
      </c>
      <c r="CZ86">
        <v>0.29069129999999999</v>
      </c>
      <c r="DA86">
        <v>0.1910364</v>
      </c>
      <c r="DB86">
        <v>-0.56757080000000004</v>
      </c>
      <c r="DC86">
        <v>-1.3475550000000001</v>
      </c>
      <c r="DD86">
        <v>-1.2569650000000001</v>
      </c>
      <c r="DE86">
        <v>-0.51838269999999997</v>
      </c>
      <c r="DF86">
        <v>0.50274430000000003</v>
      </c>
      <c r="DG86">
        <v>0.50400350000000005</v>
      </c>
      <c r="DH86">
        <v>-0.67482949999999997</v>
      </c>
      <c r="DI86">
        <v>-5.9512099999999998E-2</v>
      </c>
      <c r="DJ86">
        <v>4.370914</v>
      </c>
      <c r="DK86">
        <v>4.9548740000000002</v>
      </c>
      <c r="DL86">
        <v>4.6479340000000002</v>
      </c>
      <c r="DM86">
        <v>6.9425150000000002</v>
      </c>
      <c r="DN86">
        <v>6.2522070000000003</v>
      </c>
      <c r="DO86">
        <v>5.1012919999999999</v>
      </c>
      <c r="DP86">
        <v>4.492445</v>
      </c>
      <c r="DQ86">
        <v>4.2369760000000003</v>
      </c>
      <c r="DR86">
        <v>0.8139672</v>
      </c>
      <c r="DS86">
        <v>0.3286058</v>
      </c>
      <c r="DT86">
        <v>0.3403755</v>
      </c>
      <c r="DU86">
        <v>0.4002617</v>
      </c>
      <c r="DV86">
        <v>4.56494E-2</v>
      </c>
      <c r="DW86">
        <v>0.35889569999999998</v>
      </c>
      <c r="DX86">
        <v>0.4012444</v>
      </c>
      <c r="DY86">
        <v>0.29942560000000001</v>
      </c>
      <c r="DZ86">
        <v>-0.46647949999999999</v>
      </c>
      <c r="EA86">
        <v>-1.1958219999999999</v>
      </c>
      <c r="EB86">
        <v>-1.133847</v>
      </c>
      <c r="EC86">
        <v>-0.32452500000000001</v>
      </c>
      <c r="ED86">
        <v>0.64747259999999995</v>
      </c>
      <c r="EE86">
        <v>0.66787079999999999</v>
      </c>
      <c r="EF86">
        <v>-0.49677179999999999</v>
      </c>
      <c r="EG86">
        <v>0.118115</v>
      </c>
      <c r="EH86">
        <v>4.6005750000000001</v>
      </c>
      <c r="EI86">
        <v>5.1881199999999996</v>
      </c>
      <c r="EJ86">
        <v>4.8496860000000002</v>
      </c>
      <c r="EK86">
        <v>7.1891210000000001</v>
      </c>
      <c r="EL86">
        <v>6.442456</v>
      </c>
      <c r="EM86">
        <v>5.2814139999999998</v>
      </c>
      <c r="EN86">
        <v>4.6617649999999999</v>
      </c>
      <c r="EO86">
        <v>4.3985709999999996</v>
      </c>
      <c r="EP86">
        <v>0.98700900000000003</v>
      </c>
      <c r="EQ86">
        <v>0.48914000000000002</v>
      </c>
      <c r="ER86">
        <v>0.4909637</v>
      </c>
      <c r="ES86">
        <v>0.5447457</v>
      </c>
      <c r="ET86">
        <v>65.886979999999994</v>
      </c>
      <c r="EU86">
        <v>65.015969999999996</v>
      </c>
      <c r="EV86">
        <v>64.219740000000002</v>
      </c>
      <c r="EW86">
        <v>63.731340000000003</v>
      </c>
      <c r="EX86">
        <v>62.841380000000001</v>
      </c>
      <c r="EY86">
        <v>62.397269999999999</v>
      </c>
      <c r="EZ86">
        <v>62.065579999999997</v>
      </c>
      <c r="FA86">
        <v>62.65372</v>
      </c>
      <c r="FB86">
        <v>64.450159999999997</v>
      </c>
      <c r="FC86">
        <v>66.978660000000005</v>
      </c>
      <c r="FD86">
        <v>69.28698</v>
      </c>
      <c r="FE86">
        <v>72.831010000000006</v>
      </c>
      <c r="FF86">
        <v>76.666439999999994</v>
      </c>
      <c r="FG86">
        <v>78.827870000000004</v>
      </c>
      <c r="FH86">
        <v>80.360609999999994</v>
      </c>
      <c r="FI86">
        <v>82.154719999999998</v>
      </c>
      <c r="FJ86">
        <v>81.468369999999993</v>
      </c>
      <c r="FK86">
        <v>80.574700000000007</v>
      </c>
      <c r="FL86">
        <v>79.287030000000001</v>
      </c>
      <c r="FM86">
        <v>75.673910000000006</v>
      </c>
      <c r="FN86">
        <v>70.666920000000005</v>
      </c>
      <c r="FO86">
        <v>68.224109999999996</v>
      </c>
      <c r="FP86">
        <v>66.319659999999999</v>
      </c>
      <c r="FQ86">
        <v>64.521770000000004</v>
      </c>
      <c r="FR86">
        <v>1</v>
      </c>
      <c r="FT86" s="44"/>
    </row>
    <row r="87" spans="1:176" x14ac:dyDescent="0.2">
      <c r="A87" t="s">
        <v>191</v>
      </c>
      <c r="B87" t="s">
        <v>1</v>
      </c>
      <c r="C87" s="70">
        <v>41851</v>
      </c>
      <c r="D87">
        <v>42</v>
      </c>
      <c r="E87" s="70">
        <v>416</v>
      </c>
      <c r="F87">
        <v>214.5736</v>
      </c>
      <c r="G87">
        <v>212.16640000000001</v>
      </c>
      <c r="H87">
        <v>210.27590000000001</v>
      </c>
      <c r="I87">
        <v>210.14490000000001</v>
      </c>
      <c r="J87">
        <v>213.10470000000001</v>
      </c>
      <c r="K87">
        <v>220.6474</v>
      </c>
      <c r="L87">
        <v>230.82900000000001</v>
      </c>
      <c r="M87">
        <v>240.69229999999999</v>
      </c>
      <c r="N87">
        <v>252.86959999999999</v>
      </c>
      <c r="O87">
        <v>260.23759999999999</v>
      </c>
      <c r="P87">
        <v>266.7826</v>
      </c>
      <c r="Q87">
        <v>272.85719999999998</v>
      </c>
      <c r="R87">
        <v>277.00580000000002</v>
      </c>
      <c r="S87">
        <v>281.47579999999999</v>
      </c>
      <c r="T87">
        <v>283.69749999999999</v>
      </c>
      <c r="U87">
        <v>285.536</v>
      </c>
      <c r="V87">
        <v>283.4984</v>
      </c>
      <c r="W87">
        <v>274.94420000000002</v>
      </c>
      <c r="X87">
        <v>259.99160000000001</v>
      </c>
      <c r="Y87">
        <v>245.95060000000001</v>
      </c>
      <c r="Z87">
        <v>238.95689999999999</v>
      </c>
      <c r="AA87">
        <v>232.45439999999999</v>
      </c>
      <c r="AB87">
        <v>225.56129999999999</v>
      </c>
      <c r="AC87">
        <v>220.4091</v>
      </c>
      <c r="AD87">
        <v>-1.0366519999999999</v>
      </c>
      <c r="AE87">
        <v>-0.29510059999999999</v>
      </c>
      <c r="AF87">
        <v>0.20332639999999999</v>
      </c>
      <c r="AG87">
        <v>0.26871719999999999</v>
      </c>
      <c r="AH87">
        <v>-0.27934130000000001</v>
      </c>
      <c r="AI87">
        <v>-1.359653</v>
      </c>
      <c r="AJ87">
        <v>-1.4608669999999999</v>
      </c>
      <c r="AK87">
        <v>-1.9213750000000001</v>
      </c>
      <c r="AL87">
        <v>0.1370989</v>
      </c>
      <c r="AM87">
        <v>0.51178999999999997</v>
      </c>
      <c r="AN87">
        <v>-0.15818950000000001</v>
      </c>
      <c r="AO87">
        <v>-1.7620960000000001</v>
      </c>
      <c r="AP87">
        <v>0.12876799999999999</v>
      </c>
      <c r="AQ87">
        <v>0.97048409999999996</v>
      </c>
      <c r="AR87">
        <v>0.74343720000000002</v>
      </c>
      <c r="AS87">
        <v>1.1341349999999999</v>
      </c>
      <c r="AT87">
        <v>1.7507729999999999</v>
      </c>
      <c r="AU87">
        <v>0.14088300000000001</v>
      </c>
      <c r="AV87">
        <v>-0.53039119999999995</v>
      </c>
      <c r="AW87">
        <v>-0.6668347</v>
      </c>
      <c r="AX87">
        <v>-1.6715009999999999</v>
      </c>
      <c r="AY87">
        <v>-1.6351800000000001</v>
      </c>
      <c r="AZ87">
        <v>-2.5307409999999999</v>
      </c>
      <c r="BA87">
        <v>-1.971617</v>
      </c>
      <c r="BB87">
        <v>-0.92009920000000001</v>
      </c>
      <c r="BC87">
        <v>-0.17111209999999999</v>
      </c>
      <c r="BD87">
        <v>0.31767960000000001</v>
      </c>
      <c r="BE87">
        <v>0.37403599999999998</v>
      </c>
      <c r="BF87">
        <v>-0.1894102</v>
      </c>
      <c r="BG87">
        <v>-1.253247</v>
      </c>
      <c r="BH87">
        <v>-1.35006</v>
      </c>
      <c r="BI87">
        <v>-1.716369</v>
      </c>
      <c r="BJ87">
        <v>0.27029229999999999</v>
      </c>
      <c r="BK87">
        <v>0.64439449999999998</v>
      </c>
      <c r="BL87">
        <v>-8.5655999999999996E-3</v>
      </c>
      <c r="BM87">
        <v>-1.6020639999999999</v>
      </c>
      <c r="BN87">
        <v>0.35823120000000003</v>
      </c>
      <c r="BO87">
        <v>1.20502</v>
      </c>
      <c r="BP87">
        <v>0.93895419999999996</v>
      </c>
      <c r="BQ87">
        <v>1.358679</v>
      </c>
      <c r="BR87">
        <v>1.9212659999999999</v>
      </c>
      <c r="BS87">
        <v>0.31677519999999998</v>
      </c>
      <c r="BT87">
        <v>-0.36664940000000001</v>
      </c>
      <c r="BU87">
        <v>-0.50734170000000001</v>
      </c>
      <c r="BV87">
        <v>-1.4871160000000001</v>
      </c>
      <c r="BW87">
        <v>-1.4702630000000001</v>
      </c>
      <c r="BX87">
        <v>-2.3832849999999999</v>
      </c>
      <c r="BY87">
        <v>-1.8466070000000001</v>
      </c>
      <c r="BZ87">
        <v>-0.83937499999999998</v>
      </c>
      <c r="CA87">
        <v>-8.5237999999999994E-2</v>
      </c>
      <c r="CB87">
        <v>0.39688040000000002</v>
      </c>
      <c r="CC87">
        <v>0.44697940000000003</v>
      </c>
      <c r="CD87">
        <v>-0.1271243</v>
      </c>
      <c r="CE87">
        <v>-1.179551</v>
      </c>
      <c r="CF87">
        <v>-1.2733159999999999</v>
      </c>
      <c r="CG87">
        <v>-1.5743830000000001</v>
      </c>
      <c r="CH87">
        <v>0.36254160000000002</v>
      </c>
      <c r="CI87">
        <v>0.73623590000000005</v>
      </c>
      <c r="CJ87">
        <v>9.5063499999999995E-2</v>
      </c>
      <c r="CK87">
        <v>-1.4912259999999999</v>
      </c>
      <c r="CL87">
        <v>0.51715679999999997</v>
      </c>
      <c r="CM87">
        <v>1.367459</v>
      </c>
      <c r="CN87">
        <v>1.0743689999999999</v>
      </c>
      <c r="CO87">
        <v>1.514197</v>
      </c>
      <c r="CP87">
        <v>2.0393490000000001</v>
      </c>
      <c r="CQ87">
        <v>0.43859749999999997</v>
      </c>
      <c r="CR87">
        <v>-0.25324229999999998</v>
      </c>
      <c r="CS87">
        <v>-0.39687729999999999</v>
      </c>
      <c r="CT87">
        <v>-1.3594120000000001</v>
      </c>
      <c r="CU87">
        <v>-1.356042</v>
      </c>
      <c r="CV87">
        <v>-2.2811569999999999</v>
      </c>
      <c r="CW87">
        <v>-1.7600260000000001</v>
      </c>
      <c r="CX87">
        <v>-0.75865070000000001</v>
      </c>
      <c r="CY87">
        <v>6.3610000000000001E-4</v>
      </c>
      <c r="CZ87">
        <v>0.47608109999999998</v>
      </c>
      <c r="DA87">
        <v>0.51992289999999997</v>
      </c>
      <c r="DB87">
        <v>-6.4838400000000004E-2</v>
      </c>
      <c r="DC87">
        <v>-1.105855</v>
      </c>
      <c r="DD87">
        <v>-1.196572</v>
      </c>
      <c r="DE87">
        <v>-1.4323969999999999</v>
      </c>
      <c r="DF87">
        <v>0.454791</v>
      </c>
      <c r="DG87">
        <v>0.82807739999999996</v>
      </c>
      <c r="DH87">
        <v>0.19869249999999999</v>
      </c>
      <c r="DI87">
        <v>-1.3803879999999999</v>
      </c>
      <c r="DJ87">
        <v>0.67608230000000002</v>
      </c>
      <c r="DK87">
        <v>1.5298970000000001</v>
      </c>
      <c r="DL87">
        <v>1.2097830000000001</v>
      </c>
      <c r="DM87">
        <v>1.6697150000000001</v>
      </c>
      <c r="DN87">
        <v>2.157432</v>
      </c>
      <c r="DO87">
        <v>0.56041989999999997</v>
      </c>
      <c r="DP87">
        <v>-0.13983519999999999</v>
      </c>
      <c r="DQ87">
        <v>-0.28641290000000003</v>
      </c>
      <c r="DR87">
        <v>-1.231708</v>
      </c>
      <c r="DS87">
        <v>-1.241822</v>
      </c>
      <c r="DT87">
        <v>-2.1790289999999999</v>
      </c>
      <c r="DU87">
        <v>-1.6734450000000001</v>
      </c>
      <c r="DV87">
        <v>-0.64209780000000005</v>
      </c>
      <c r="DW87">
        <v>0.1246247</v>
      </c>
      <c r="DX87">
        <v>0.59043429999999997</v>
      </c>
      <c r="DY87">
        <v>0.62524170000000001</v>
      </c>
      <c r="DZ87">
        <v>2.50926E-2</v>
      </c>
      <c r="EA87">
        <v>-0.99944880000000003</v>
      </c>
      <c r="EB87">
        <v>-1.0857650000000001</v>
      </c>
      <c r="EC87">
        <v>-1.2273909999999999</v>
      </c>
      <c r="ED87">
        <v>0.58798439999999996</v>
      </c>
      <c r="EE87">
        <v>0.96068189999999998</v>
      </c>
      <c r="EF87">
        <v>0.34831640000000003</v>
      </c>
      <c r="EG87">
        <v>-1.220356</v>
      </c>
      <c r="EH87">
        <v>0.90554559999999995</v>
      </c>
      <c r="EI87">
        <v>1.7644329999999999</v>
      </c>
      <c r="EJ87">
        <v>1.4053</v>
      </c>
      <c r="EK87">
        <v>1.894258</v>
      </c>
      <c r="EL87">
        <v>2.327925</v>
      </c>
      <c r="EM87">
        <v>0.73631199999999997</v>
      </c>
      <c r="EN87">
        <v>2.39066E-2</v>
      </c>
      <c r="EO87">
        <v>-0.1269199</v>
      </c>
      <c r="EP87">
        <v>-1.047323</v>
      </c>
      <c r="EQ87">
        <v>-1.076905</v>
      </c>
      <c r="ER87">
        <v>-2.0315720000000002</v>
      </c>
      <c r="ES87">
        <v>-1.5484359999999999</v>
      </c>
      <c r="ET87">
        <v>63.682600000000001</v>
      </c>
      <c r="EU87">
        <v>63.116990000000001</v>
      </c>
      <c r="EV87">
        <v>62.497059999999998</v>
      </c>
      <c r="EW87">
        <v>61.550870000000003</v>
      </c>
      <c r="EX87">
        <v>61.82441</v>
      </c>
      <c r="EY87">
        <v>61.795610000000003</v>
      </c>
      <c r="EZ87">
        <v>62.166159999999998</v>
      </c>
      <c r="FA87">
        <v>62.925429999999999</v>
      </c>
      <c r="FB87">
        <v>64.052760000000006</v>
      </c>
      <c r="FC87">
        <v>65.561779999999999</v>
      </c>
      <c r="FD87">
        <v>68.050539999999998</v>
      </c>
      <c r="FE87">
        <v>71.504140000000007</v>
      </c>
      <c r="FF87">
        <v>75.275710000000004</v>
      </c>
      <c r="FG87">
        <v>78.162300000000002</v>
      </c>
      <c r="FH87">
        <v>79.449969999999993</v>
      </c>
      <c r="FI87">
        <v>81.236859999999993</v>
      </c>
      <c r="FJ87">
        <v>81.801259999999999</v>
      </c>
      <c r="FK87">
        <v>80.887500000000003</v>
      </c>
      <c r="FL87">
        <v>79.04562</v>
      </c>
      <c r="FM87">
        <v>75.494349999999997</v>
      </c>
      <c r="FN87">
        <v>71.808700000000002</v>
      </c>
      <c r="FO87">
        <v>68.747380000000007</v>
      </c>
      <c r="FP87">
        <v>67.020089999999996</v>
      </c>
      <c r="FQ87">
        <v>66.134270000000001</v>
      </c>
      <c r="FR87">
        <v>1</v>
      </c>
      <c r="FT87" s="44"/>
    </row>
    <row r="88" spans="1:176" x14ac:dyDescent="0.2">
      <c r="A88" t="s">
        <v>191</v>
      </c>
      <c r="B88" t="s">
        <v>1</v>
      </c>
      <c r="C88" s="70">
        <v>41852</v>
      </c>
      <c r="D88">
        <v>0</v>
      </c>
      <c r="E88" s="70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T88" s="44"/>
    </row>
    <row r="89" spans="1:176" x14ac:dyDescent="0.2">
      <c r="A89" t="s">
        <v>191</v>
      </c>
      <c r="B89" t="s">
        <v>1</v>
      </c>
      <c r="C89" s="70">
        <v>41894</v>
      </c>
      <c r="D89">
        <v>0</v>
      </c>
      <c r="E89" s="70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T89" s="44"/>
    </row>
    <row r="90" spans="1:176" x14ac:dyDescent="0.2">
      <c r="A90" t="s">
        <v>191</v>
      </c>
      <c r="B90" t="s">
        <v>1</v>
      </c>
      <c r="C90" s="70">
        <v>41897</v>
      </c>
      <c r="D90">
        <v>0</v>
      </c>
      <c r="E90" s="7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T90" s="44"/>
    </row>
    <row r="91" spans="1:176" x14ac:dyDescent="0.2">
      <c r="A91" t="s">
        <v>191</v>
      </c>
      <c r="B91" t="s">
        <v>1</v>
      </c>
      <c r="C91" s="70">
        <v>41898</v>
      </c>
      <c r="D91">
        <v>37</v>
      </c>
      <c r="E91" s="70">
        <v>346</v>
      </c>
      <c r="F91">
        <v>183.51759999999999</v>
      </c>
      <c r="G91">
        <v>180.91159999999999</v>
      </c>
      <c r="H91">
        <v>179.7133</v>
      </c>
      <c r="I91">
        <v>179.0787</v>
      </c>
      <c r="J91">
        <v>180.92760000000001</v>
      </c>
      <c r="K91">
        <v>184.51750000000001</v>
      </c>
      <c r="L91">
        <v>194.0067</v>
      </c>
      <c r="M91">
        <v>204.6371</v>
      </c>
      <c r="N91">
        <v>217.6199</v>
      </c>
      <c r="O91">
        <v>229.58869999999999</v>
      </c>
      <c r="P91">
        <v>235.58170000000001</v>
      </c>
      <c r="Q91">
        <v>239.47890000000001</v>
      </c>
      <c r="R91">
        <v>242.14599999999999</v>
      </c>
      <c r="S91">
        <v>245.02199999999999</v>
      </c>
      <c r="T91">
        <v>247.91229999999999</v>
      </c>
      <c r="U91">
        <v>248.38120000000001</v>
      </c>
      <c r="V91">
        <v>246.1027</v>
      </c>
      <c r="W91">
        <v>237.73599999999999</v>
      </c>
      <c r="X91">
        <v>224.62889999999999</v>
      </c>
      <c r="Y91">
        <v>215.04040000000001</v>
      </c>
      <c r="Z91">
        <v>210.5247</v>
      </c>
      <c r="AA91">
        <v>203.74029999999999</v>
      </c>
      <c r="AB91">
        <v>196.50319999999999</v>
      </c>
      <c r="AC91">
        <v>191.05779999999999</v>
      </c>
      <c r="AD91">
        <v>0.6443371</v>
      </c>
      <c r="AE91">
        <v>0.64785550000000003</v>
      </c>
      <c r="AF91">
        <v>0.52969010000000005</v>
      </c>
      <c r="AG91">
        <v>0.48697659999999998</v>
      </c>
      <c r="AH91">
        <v>0.33277479999999998</v>
      </c>
      <c r="AI91">
        <v>7.5521900000000003E-2</v>
      </c>
      <c r="AJ91">
        <v>-1.9319999999999999E-3</v>
      </c>
      <c r="AK91">
        <v>-0.53213370000000004</v>
      </c>
      <c r="AL91">
        <v>-0.61934789999999995</v>
      </c>
      <c r="AM91">
        <v>-0.74855419999999995</v>
      </c>
      <c r="AN91">
        <v>-0.60388569999999997</v>
      </c>
      <c r="AO91">
        <v>-0.49849100000000002</v>
      </c>
      <c r="AP91">
        <v>2.7375060000000002</v>
      </c>
      <c r="AQ91">
        <v>2.71991</v>
      </c>
      <c r="AR91">
        <v>2.374838</v>
      </c>
      <c r="AS91">
        <v>2.6675900000000001</v>
      </c>
      <c r="AT91">
        <v>2.6907049999999999</v>
      </c>
      <c r="AU91">
        <v>2.0617190000000001</v>
      </c>
      <c r="AV91">
        <v>1.405805</v>
      </c>
      <c r="AW91">
        <v>0.91042970000000001</v>
      </c>
      <c r="AX91">
        <v>-0.94498459999999995</v>
      </c>
      <c r="AY91">
        <v>-1.161438</v>
      </c>
      <c r="AZ91">
        <v>-1.2778069999999999</v>
      </c>
      <c r="BA91">
        <v>-0.20622689999999999</v>
      </c>
      <c r="BB91">
        <v>0.72285200000000005</v>
      </c>
      <c r="BC91">
        <v>0.72885359999999999</v>
      </c>
      <c r="BD91">
        <v>0.60215879999999999</v>
      </c>
      <c r="BE91">
        <v>0.5505835</v>
      </c>
      <c r="BF91">
        <v>0.3903817</v>
      </c>
      <c r="BG91">
        <v>0.14353669999999999</v>
      </c>
      <c r="BH91">
        <v>6.7912500000000001E-2</v>
      </c>
      <c r="BI91">
        <v>-0.42402640000000003</v>
      </c>
      <c r="BJ91">
        <v>-0.53330900000000003</v>
      </c>
      <c r="BK91">
        <v>-0.65730659999999996</v>
      </c>
      <c r="BL91">
        <v>-0.48188809999999999</v>
      </c>
      <c r="BM91">
        <v>-0.38452130000000001</v>
      </c>
      <c r="BN91">
        <v>2.884455</v>
      </c>
      <c r="BO91">
        <v>2.8830819999999999</v>
      </c>
      <c r="BP91">
        <v>2.5190920000000001</v>
      </c>
      <c r="BQ91">
        <v>2.791077</v>
      </c>
      <c r="BR91">
        <v>2.8094220000000001</v>
      </c>
      <c r="BS91">
        <v>2.176434</v>
      </c>
      <c r="BT91">
        <v>1.506157</v>
      </c>
      <c r="BU91">
        <v>1.016324</v>
      </c>
      <c r="BV91">
        <v>-0.82766340000000005</v>
      </c>
      <c r="BW91">
        <v>-1.059164</v>
      </c>
      <c r="BX91">
        <v>-1.174409</v>
      </c>
      <c r="BY91">
        <v>-0.10555539999999999</v>
      </c>
      <c r="BZ91">
        <v>0.77723120000000001</v>
      </c>
      <c r="CA91">
        <v>0.7849526</v>
      </c>
      <c r="CB91">
        <v>0.6523504</v>
      </c>
      <c r="CC91">
        <v>0.59463750000000004</v>
      </c>
      <c r="CD91">
        <v>0.4302801</v>
      </c>
      <c r="CE91">
        <v>0.19064349999999999</v>
      </c>
      <c r="CF91">
        <v>0.1162866</v>
      </c>
      <c r="CG91">
        <v>-0.34915170000000001</v>
      </c>
      <c r="CH91">
        <v>-0.4737188</v>
      </c>
      <c r="CI91">
        <v>-0.59410879999999999</v>
      </c>
      <c r="CJ91">
        <v>-0.397393</v>
      </c>
      <c r="CK91">
        <v>-0.30558619999999997</v>
      </c>
      <c r="CL91">
        <v>2.9862320000000002</v>
      </c>
      <c r="CM91">
        <v>2.996095</v>
      </c>
      <c r="CN91">
        <v>2.6190020000000001</v>
      </c>
      <c r="CO91">
        <v>2.8766029999999998</v>
      </c>
      <c r="CP91">
        <v>2.8916460000000002</v>
      </c>
      <c r="CQ91">
        <v>2.2558850000000001</v>
      </c>
      <c r="CR91">
        <v>1.5756600000000001</v>
      </c>
      <c r="CS91">
        <v>1.0896669999999999</v>
      </c>
      <c r="CT91">
        <v>-0.74640720000000005</v>
      </c>
      <c r="CU91">
        <v>-0.98832909999999996</v>
      </c>
      <c r="CV91">
        <v>-1.1027960000000001</v>
      </c>
      <c r="CW91">
        <v>-3.5830599999999997E-2</v>
      </c>
      <c r="CX91">
        <v>0.83161030000000002</v>
      </c>
      <c r="CY91">
        <v>0.84105169999999996</v>
      </c>
      <c r="CZ91">
        <v>0.70254209999999995</v>
      </c>
      <c r="DA91">
        <v>0.63869149999999997</v>
      </c>
      <c r="DB91">
        <v>0.4701785</v>
      </c>
      <c r="DC91">
        <v>0.2377504</v>
      </c>
      <c r="DD91">
        <v>0.16466059999999999</v>
      </c>
      <c r="DE91">
        <v>-0.27427689999999999</v>
      </c>
      <c r="DF91">
        <v>-0.41412850000000001</v>
      </c>
      <c r="DG91">
        <v>-0.53091100000000002</v>
      </c>
      <c r="DH91">
        <v>-0.3128978</v>
      </c>
      <c r="DI91">
        <v>-0.2266512</v>
      </c>
      <c r="DJ91">
        <v>3.0880079999999999</v>
      </c>
      <c r="DK91">
        <v>3.1091069999999998</v>
      </c>
      <c r="DL91">
        <v>2.718912</v>
      </c>
      <c r="DM91">
        <v>2.9621300000000002</v>
      </c>
      <c r="DN91">
        <v>2.9738690000000001</v>
      </c>
      <c r="DO91">
        <v>2.3353359999999999</v>
      </c>
      <c r="DP91">
        <v>1.6451640000000001</v>
      </c>
      <c r="DQ91">
        <v>1.163009</v>
      </c>
      <c r="DR91">
        <v>-0.66515089999999999</v>
      </c>
      <c r="DS91">
        <v>-0.91749440000000004</v>
      </c>
      <c r="DT91">
        <v>-1.031183</v>
      </c>
      <c r="DU91">
        <v>3.3894100000000003E-2</v>
      </c>
      <c r="DV91">
        <v>0.91012519999999997</v>
      </c>
      <c r="DW91">
        <v>0.92204980000000003</v>
      </c>
      <c r="DX91">
        <v>0.7750108</v>
      </c>
      <c r="DY91">
        <v>0.70229839999999999</v>
      </c>
      <c r="DZ91">
        <v>0.52778539999999996</v>
      </c>
      <c r="EA91">
        <v>0.30576510000000001</v>
      </c>
      <c r="EB91">
        <v>0.23450509999999999</v>
      </c>
      <c r="EC91">
        <v>-0.1661696</v>
      </c>
      <c r="ED91">
        <v>-0.32808969999999998</v>
      </c>
      <c r="EE91">
        <v>-0.43966339999999998</v>
      </c>
      <c r="EF91">
        <v>-0.19090029999999999</v>
      </c>
      <c r="EG91">
        <v>-0.1126815</v>
      </c>
      <c r="EH91">
        <v>3.2349570000000001</v>
      </c>
      <c r="EI91">
        <v>3.2722799999999999</v>
      </c>
      <c r="EJ91">
        <v>2.8631660000000001</v>
      </c>
      <c r="EK91">
        <v>3.0856170000000001</v>
      </c>
      <c r="EL91">
        <v>3.092587</v>
      </c>
      <c r="EM91">
        <v>2.4500510000000002</v>
      </c>
      <c r="EN91">
        <v>1.7455160000000001</v>
      </c>
      <c r="EO91">
        <v>1.268904</v>
      </c>
      <c r="EP91">
        <v>-0.54782969999999998</v>
      </c>
      <c r="EQ91">
        <v>-0.81522039999999996</v>
      </c>
      <c r="ER91">
        <v>-0.92778499999999997</v>
      </c>
      <c r="ES91">
        <v>0.13456560000000001</v>
      </c>
      <c r="ET91">
        <v>64.360669999999999</v>
      </c>
      <c r="EU91">
        <v>63.853830000000002</v>
      </c>
      <c r="EV91">
        <v>62.832909999999998</v>
      </c>
      <c r="EW91">
        <v>62.116140000000001</v>
      </c>
      <c r="EX91">
        <v>61.553930000000001</v>
      </c>
      <c r="EY91">
        <v>61.09122</v>
      </c>
      <c r="EZ91">
        <v>60.702640000000002</v>
      </c>
      <c r="FA91">
        <v>61.520560000000003</v>
      </c>
      <c r="FB91">
        <v>64.466930000000005</v>
      </c>
      <c r="FC91">
        <v>67.639970000000005</v>
      </c>
      <c r="FD91">
        <v>70.104680000000002</v>
      </c>
      <c r="FE91">
        <v>72.927279999999996</v>
      </c>
      <c r="FF91">
        <v>75.376720000000006</v>
      </c>
      <c r="FG91">
        <v>78.586609999999993</v>
      </c>
      <c r="FH91">
        <v>80.393810000000002</v>
      </c>
      <c r="FI91">
        <v>80.812560000000005</v>
      </c>
      <c r="FJ91">
        <v>80.434560000000005</v>
      </c>
      <c r="FK91">
        <v>78.257859999999994</v>
      </c>
      <c r="FL91">
        <v>74.794740000000004</v>
      </c>
      <c r="FM91">
        <v>71.682159999999996</v>
      </c>
      <c r="FN91">
        <v>69.1374</v>
      </c>
      <c r="FO91">
        <v>67.230909999999994</v>
      </c>
      <c r="FP91">
        <v>66.197550000000007</v>
      </c>
      <c r="FQ91">
        <v>65.54598</v>
      </c>
      <c r="FR91">
        <v>1</v>
      </c>
      <c r="FT91" s="44"/>
    </row>
    <row r="92" spans="1:176" x14ac:dyDescent="0.2">
      <c r="A92" t="s">
        <v>191</v>
      </c>
      <c r="B92" t="s">
        <v>1</v>
      </c>
      <c r="C92" s="70" t="s">
        <v>2</v>
      </c>
      <c r="D92">
        <v>47</v>
      </c>
      <c r="E92" s="70">
        <v>400.22199999999998</v>
      </c>
      <c r="F92">
        <v>204.5318</v>
      </c>
      <c r="G92">
        <v>202.91839999999999</v>
      </c>
      <c r="H92">
        <v>201.66489999999999</v>
      </c>
      <c r="I92">
        <v>201.851</v>
      </c>
      <c r="J92">
        <v>205.05539999999999</v>
      </c>
      <c r="K92">
        <v>212.0839</v>
      </c>
      <c r="L92">
        <v>222.05609999999999</v>
      </c>
      <c r="M92">
        <v>232.512</v>
      </c>
      <c r="N92">
        <v>245.0282</v>
      </c>
      <c r="O92">
        <v>255.78720000000001</v>
      </c>
      <c r="P92">
        <v>262.6035</v>
      </c>
      <c r="Q92">
        <v>267.80279999999999</v>
      </c>
      <c r="R92">
        <v>271.07400000000001</v>
      </c>
      <c r="S92">
        <v>273.81229999999999</v>
      </c>
      <c r="T92">
        <v>275.98099999999999</v>
      </c>
      <c r="U92">
        <v>275.1703</v>
      </c>
      <c r="V92">
        <v>271.63299999999998</v>
      </c>
      <c r="W92">
        <v>262.26679999999999</v>
      </c>
      <c r="X92">
        <v>248.0735</v>
      </c>
      <c r="Y92">
        <v>236.23179999999999</v>
      </c>
      <c r="Z92">
        <v>231.0376</v>
      </c>
      <c r="AA92">
        <v>223.9633</v>
      </c>
      <c r="AB92">
        <v>217.0591</v>
      </c>
      <c r="AC92">
        <v>212.1703</v>
      </c>
      <c r="AD92">
        <v>-0.59858750000000005</v>
      </c>
      <c r="AE92">
        <v>-0.45900059999999998</v>
      </c>
      <c r="AF92">
        <v>-0.23282929999999999</v>
      </c>
      <c r="AG92">
        <v>-7.2639599999999999E-2</v>
      </c>
      <c r="AH92">
        <v>-0.26656960000000002</v>
      </c>
      <c r="AI92">
        <v>-0.68492940000000002</v>
      </c>
      <c r="AJ92">
        <v>-0.40513169999999998</v>
      </c>
      <c r="AK92">
        <v>-0.62343789999999999</v>
      </c>
      <c r="AL92">
        <v>0.1072555</v>
      </c>
      <c r="AM92">
        <v>-7.2263800000000003E-2</v>
      </c>
      <c r="AN92">
        <v>-0.1489605</v>
      </c>
      <c r="AO92">
        <v>0.20177790000000001</v>
      </c>
      <c r="AP92">
        <v>3.8619020000000002</v>
      </c>
      <c r="AQ92">
        <v>4.1965560000000002</v>
      </c>
      <c r="AR92">
        <v>4.0724049999999998</v>
      </c>
      <c r="AS92">
        <v>4.1025020000000003</v>
      </c>
      <c r="AT92">
        <v>3.2367020000000002</v>
      </c>
      <c r="AU92">
        <v>2.466631</v>
      </c>
      <c r="AV92">
        <v>1.6390610000000001</v>
      </c>
      <c r="AW92">
        <v>1.4066650000000001</v>
      </c>
      <c r="AX92">
        <v>-0.16925109999999999</v>
      </c>
      <c r="AY92">
        <v>-0.66833690000000001</v>
      </c>
      <c r="AZ92">
        <v>-0.78878119999999996</v>
      </c>
      <c r="BA92">
        <v>-0.24388860000000001</v>
      </c>
      <c r="BB92">
        <v>-0.44448660000000001</v>
      </c>
      <c r="BC92">
        <v>-0.31514140000000002</v>
      </c>
      <c r="BD92">
        <v>-0.1177624</v>
      </c>
      <c r="BE92">
        <v>4.7283400000000003E-2</v>
      </c>
      <c r="BF92">
        <v>-0.16383410000000001</v>
      </c>
      <c r="BG92">
        <v>-0.56640699999999999</v>
      </c>
      <c r="BH92">
        <v>-0.287381</v>
      </c>
      <c r="BI92">
        <v>-0.45148199999999999</v>
      </c>
      <c r="BJ92">
        <v>0.2812017</v>
      </c>
      <c r="BK92">
        <v>0.11159230000000001</v>
      </c>
      <c r="BL92">
        <v>5.3058899999999999E-2</v>
      </c>
      <c r="BM92">
        <v>0.40566429999999998</v>
      </c>
      <c r="BN92">
        <v>4.1139729999999997</v>
      </c>
      <c r="BO92">
        <v>4.4689880000000004</v>
      </c>
      <c r="BP92">
        <v>4.318225</v>
      </c>
      <c r="BQ92">
        <v>4.326943</v>
      </c>
      <c r="BR92">
        <v>3.4316900000000001</v>
      </c>
      <c r="BS92">
        <v>2.6607419999999999</v>
      </c>
      <c r="BT92">
        <v>1.822775</v>
      </c>
      <c r="BU92">
        <v>1.594174</v>
      </c>
      <c r="BV92">
        <v>5.5396099999999997E-2</v>
      </c>
      <c r="BW92">
        <v>-0.45558539999999997</v>
      </c>
      <c r="BX92">
        <v>-0.61225019999999997</v>
      </c>
      <c r="BY92">
        <v>-6.5999199999999994E-2</v>
      </c>
      <c r="BZ92">
        <v>-0.33775680000000002</v>
      </c>
      <c r="CA92">
        <v>-0.215505</v>
      </c>
      <c r="CB92">
        <v>-3.8067499999999997E-2</v>
      </c>
      <c r="CC92">
        <v>0.1303416</v>
      </c>
      <c r="CD92">
        <v>-9.2679700000000004E-2</v>
      </c>
      <c r="CE92">
        <v>-0.48431869999999999</v>
      </c>
      <c r="CF92">
        <v>-0.20582729999999999</v>
      </c>
      <c r="CG92">
        <v>-0.33238600000000001</v>
      </c>
      <c r="CH92">
        <v>0.40167619999999998</v>
      </c>
      <c r="CI92">
        <v>0.23893049999999999</v>
      </c>
      <c r="CJ92">
        <v>0.19297700000000001</v>
      </c>
      <c r="CK92">
        <v>0.54687540000000001</v>
      </c>
      <c r="CL92">
        <v>4.288557</v>
      </c>
      <c r="CM92">
        <v>4.657673</v>
      </c>
      <c r="CN92">
        <v>4.48848</v>
      </c>
      <c r="CO92">
        <v>4.4823899999999997</v>
      </c>
      <c r="CP92">
        <v>3.566738</v>
      </c>
      <c r="CQ92">
        <v>2.7951830000000002</v>
      </c>
      <c r="CR92">
        <v>1.9500139999999999</v>
      </c>
      <c r="CS92">
        <v>1.7240420000000001</v>
      </c>
      <c r="CT92">
        <v>0.21098620000000001</v>
      </c>
      <c r="CU92">
        <v>-0.30823440000000002</v>
      </c>
      <c r="CV92">
        <v>-0.48998530000000001</v>
      </c>
      <c r="CW92">
        <v>5.7206600000000003E-2</v>
      </c>
      <c r="CX92">
        <v>-0.23102700000000001</v>
      </c>
      <c r="CY92">
        <v>-0.1158686</v>
      </c>
      <c r="CZ92">
        <v>4.1627499999999998E-2</v>
      </c>
      <c r="DA92">
        <v>0.2133999</v>
      </c>
      <c r="DB92">
        <v>-2.15254E-2</v>
      </c>
      <c r="DC92">
        <v>-0.40223039999999999</v>
      </c>
      <c r="DD92">
        <v>-0.1242735</v>
      </c>
      <c r="DE92">
        <v>-0.2132899</v>
      </c>
      <c r="DF92">
        <v>0.52215080000000003</v>
      </c>
      <c r="DG92">
        <v>0.3662687</v>
      </c>
      <c r="DH92">
        <v>0.332895</v>
      </c>
      <c r="DI92">
        <v>0.68808650000000005</v>
      </c>
      <c r="DJ92">
        <v>4.4631410000000002</v>
      </c>
      <c r="DK92">
        <v>4.8463589999999996</v>
      </c>
      <c r="DL92">
        <v>4.6587339999999999</v>
      </c>
      <c r="DM92">
        <v>4.6378370000000002</v>
      </c>
      <c r="DN92">
        <v>3.7017859999999998</v>
      </c>
      <c r="DO92">
        <v>2.9296229999999999</v>
      </c>
      <c r="DP92">
        <v>2.0772539999999999</v>
      </c>
      <c r="DQ92">
        <v>1.8539099999999999</v>
      </c>
      <c r="DR92">
        <v>0.36657620000000002</v>
      </c>
      <c r="DS92">
        <v>-0.16088330000000001</v>
      </c>
      <c r="DT92">
        <v>-0.36772050000000001</v>
      </c>
      <c r="DU92">
        <v>0.1804123</v>
      </c>
      <c r="DV92">
        <v>-7.6926099999999997E-2</v>
      </c>
      <c r="DW92">
        <v>2.7990600000000001E-2</v>
      </c>
      <c r="DX92">
        <v>0.15669440000000001</v>
      </c>
      <c r="DY92">
        <v>0.33332289999999998</v>
      </c>
      <c r="DZ92">
        <v>8.1210199999999996E-2</v>
      </c>
      <c r="EA92">
        <v>-0.28370790000000001</v>
      </c>
      <c r="EB92">
        <v>-6.5227999999999996E-3</v>
      </c>
      <c r="EC92">
        <v>-4.1334099999999999E-2</v>
      </c>
      <c r="ED92">
        <v>0.69609690000000002</v>
      </c>
      <c r="EE92">
        <v>0.55012490000000003</v>
      </c>
      <c r="EF92">
        <v>0.53491440000000001</v>
      </c>
      <c r="EG92">
        <v>0.89197300000000002</v>
      </c>
      <c r="EH92">
        <v>4.7152120000000002</v>
      </c>
      <c r="EI92">
        <v>5.1187909999999999</v>
      </c>
      <c r="EJ92">
        <v>4.9045540000000001</v>
      </c>
      <c r="EK92">
        <v>4.8622779999999999</v>
      </c>
      <c r="EL92">
        <v>3.896773</v>
      </c>
      <c r="EM92">
        <v>3.1237339999999998</v>
      </c>
      <c r="EN92">
        <v>2.2609680000000001</v>
      </c>
      <c r="EO92">
        <v>2.0414180000000002</v>
      </c>
      <c r="EP92">
        <v>0.59122339999999995</v>
      </c>
      <c r="EQ92">
        <v>5.18681E-2</v>
      </c>
      <c r="ER92">
        <v>-0.19118950000000001</v>
      </c>
      <c r="ES92">
        <v>0.3583018</v>
      </c>
      <c r="ET92">
        <v>64.886619999999994</v>
      </c>
      <c r="EU92">
        <v>64.230969999999999</v>
      </c>
      <c r="EV92">
        <v>63.47813</v>
      </c>
      <c r="EW92">
        <v>62.857239999999997</v>
      </c>
      <c r="EX92">
        <v>62.478450000000002</v>
      </c>
      <c r="EY92">
        <v>62.181730000000002</v>
      </c>
      <c r="EZ92">
        <v>62.087069999999997</v>
      </c>
      <c r="FA92">
        <v>63.21293</v>
      </c>
      <c r="FB92">
        <v>65.373699999999999</v>
      </c>
      <c r="FC92">
        <v>68.251320000000007</v>
      </c>
      <c r="FD92">
        <v>71.279169999999993</v>
      </c>
      <c r="FE92">
        <v>74.517120000000006</v>
      </c>
      <c r="FF92">
        <v>77.395390000000006</v>
      </c>
      <c r="FG92">
        <v>79.635090000000005</v>
      </c>
      <c r="FH92">
        <v>80.745130000000003</v>
      </c>
      <c r="FI92">
        <v>81.197299999999998</v>
      </c>
      <c r="FJ92">
        <v>80.894760000000005</v>
      </c>
      <c r="FK92">
        <v>80.084549999999993</v>
      </c>
      <c r="FL92">
        <v>77.674959999999999</v>
      </c>
      <c r="FM92">
        <v>74.412930000000003</v>
      </c>
      <c r="FN92">
        <v>71.055400000000006</v>
      </c>
      <c r="FO92">
        <v>68.42568</v>
      </c>
      <c r="FP92">
        <v>66.814170000000004</v>
      </c>
      <c r="FQ92">
        <v>65.598290000000006</v>
      </c>
      <c r="FR92">
        <v>1</v>
      </c>
      <c r="FT92" s="44"/>
    </row>
    <row r="93" spans="1:176" x14ac:dyDescent="0.2">
      <c r="A93" t="s">
        <v>191</v>
      </c>
      <c r="B93" t="s">
        <v>203</v>
      </c>
      <c r="C93" s="70">
        <v>41773</v>
      </c>
      <c r="D93">
        <v>0</v>
      </c>
      <c r="E93" s="70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T93" s="44"/>
    </row>
    <row r="94" spans="1:176" x14ac:dyDescent="0.2">
      <c r="A94" t="s">
        <v>191</v>
      </c>
      <c r="B94" t="s">
        <v>203</v>
      </c>
      <c r="C94" s="70">
        <v>41820</v>
      </c>
      <c r="D94">
        <v>0</v>
      </c>
      <c r="E94" s="70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T94" s="44"/>
    </row>
    <row r="95" spans="1:176" x14ac:dyDescent="0.2">
      <c r="A95" t="s">
        <v>191</v>
      </c>
      <c r="B95" t="s">
        <v>203</v>
      </c>
      <c r="C95" s="70">
        <v>41827</v>
      </c>
      <c r="D95">
        <v>0</v>
      </c>
      <c r="E95" s="70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T95" s="44"/>
    </row>
    <row r="96" spans="1:176" x14ac:dyDescent="0.2">
      <c r="A96" t="s">
        <v>191</v>
      </c>
      <c r="B96" t="s">
        <v>203</v>
      </c>
      <c r="C96" s="70">
        <v>41834</v>
      </c>
      <c r="D96">
        <v>0</v>
      </c>
      <c r="E96" s="70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T96" s="44"/>
    </row>
    <row r="97" spans="1:176" x14ac:dyDescent="0.2">
      <c r="A97" t="s">
        <v>191</v>
      </c>
      <c r="B97" t="s">
        <v>203</v>
      </c>
      <c r="C97" s="70">
        <v>41848</v>
      </c>
      <c r="D97">
        <v>0</v>
      </c>
      <c r="E97" s="70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T97" s="44"/>
    </row>
    <row r="98" spans="1:176" x14ac:dyDescent="0.2">
      <c r="A98" t="s">
        <v>191</v>
      </c>
      <c r="B98" t="s">
        <v>203</v>
      </c>
      <c r="C98" s="70">
        <v>41849</v>
      </c>
      <c r="D98">
        <v>0</v>
      </c>
      <c r="E98" s="70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T98" s="44"/>
    </row>
    <row r="99" spans="1:176" x14ac:dyDescent="0.2">
      <c r="A99" t="s">
        <v>191</v>
      </c>
      <c r="B99" t="s">
        <v>203</v>
      </c>
      <c r="C99" s="70">
        <v>41850</v>
      </c>
      <c r="D99">
        <v>0</v>
      </c>
      <c r="E99" s="70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T99" s="44"/>
    </row>
    <row r="100" spans="1:176" x14ac:dyDescent="0.2">
      <c r="A100" t="s">
        <v>191</v>
      </c>
      <c r="B100" t="s">
        <v>203</v>
      </c>
      <c r="C100" s="70">
        <v>41851</v>
      </c>
      <c r="D100">
        <v>0</v>
      </c>
      <c r="E100" s="7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T100" s="44"/>
    </row>
    <row r="101" spans="1:176" x14ac:dyDescent="0.2">
      <c r="A101" t="s">
        <v>191</v>
      </c>
      <c r="B101" t="s">
        <v>203</v>
      </c>
      <c r="C101" s="70">
        <v>41852</v>
      </c>
      <c r="D101">
        <v>0</v>
      </c>
      <c r="E101" s="70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T101" s="44"/>
    </row>
    <row r="102" spans="1:176" x14ac:dyDescent="0.2">
      <c r="A102" t="s">
        <v>191</v>
      </c>
      <c r="B102" t="s">
        <v>203</v>
      </c>
      <c r="C102" s="70">
        <v>41894</v>
      </c>
      <c r="D102">
        <v>0</v>
      </c>
      <c r="E102" s="70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T102" s="44"/>
    </row>
    <row r="103" spans="1:176" x14ac:dyDescent="0.2">
      <c r="A103" t="s">
        <v>191</v>
      </c>
      <c r="B103" t="s">
        <v>203</v>
      </c>
      <c r="C103" s="70">
        <v>41897</v>
      </c>
      <c r="D103">
        <v>0</v>
      </c>
      <c r="E103" s="70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T103" s="44"/>
    </row>
    <row r="104" spans="1:176" x14ac:dyDescent="0.2">
      <c r="A104" t="s">
        <v>191</v>
      </c>
      <c r="B104" t="s">
        <v>203</v>
      </c>
      <c r="C104" s="70">
        <v>41898</v>
      </c>
      <c r="D104">
        <v>0</v>
      </c>
      <c r="E104" s="70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T104" s="44"/>
    </row>
    <row r="105" spans="1:176" x14ac:dyDescent="0.2">
      <c r="A105" t="s">
        <v>191</v>
      </c>
      <c r="B105" t="s">
        <v>203</v>
      </c>
      <c r="C105" s="70" t="s">
        <v>2</v>
      </c>
      <c r="D105">
        <v>0</v>
      </c>
      <c r="E105" s="70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T105" s="44"/>
    </row>
    <row r="106" spans="1:176" x14ac:dyDescent="0.2">
      <c r="A106" t="s">
        <v>192</v>
      </c>
      <c r="B106" t="s">
        <v>202</v>
      </c>
      <c r="C106" s="70">
        <v>41773</v>
      </c>
      <c r="D106">
        <v>0</v>
      </c>
      <c r="E106" s="70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T106" s="44"/>
    </row>
    <row r="107" spans="1:176" x14ac:dyDescent="0.2">
      <c r="A107" t="s">
        <v>192</v>
      </c>
      <c r="B107" t="s">
        <v>202</v>
      </c>
      <c r="C107" s="70">
        <v>41820</v>
      </c>
      <c r="D107">
        <v>0</v>
      </c>
      <c r="E107" s="70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T107" s="44"/>
    </row>
    <row r="108" spans="1:176" x14ac:dyDescent="0.2">
      <c r="A108" t="s">
        <v>192</v>
      </c>
      <c r="B108" t="s">
        <v>202</v>
      </c>
      <c r="C108" s="70">
        <v>41827</v>
      </c>
      <c r="D108">
        <v>0</v>
      </c>
      <c r="E108" s="70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T108" s="44"/>
    </row>
    <row r="109" spans="1:176" x14ac:dyDescent="0.2">
      <c r="A109" t="s">
        <v>192</v>
      </c>
      <c r="B109" t="s">
        <v>202</v>
      </c>
      <c r="C109" s="70">
        <v>41834</v>
      </c>
      <c r="D109">
        <v>0</v>
      </c>
      <c r="E109" s="70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T109" s="44"/>
    </row>
    <row r="110" spans="1:176" x14ac:dyDescent="0.2">
      <c r="A110" t="s">
        <v>192</v>
      </c>
      <c r="B110" t="s">
        <v>202</v>
      </c>
      <c r="C110" s="70">
        <v>41848</v>
      </c>
      <c r="D110">
        <v>0</v>
      </c>
      <c r="E110" s="7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T110" s="44"/>
    </row>
    <row r="111" spans="1:176" x14ac:dyDescent="0.2">
      <c r="A111" t="s">
        <v>192</v>
      </c>
      <c r="B111" t="s">
        <v>202</v>
      </c>
      <c r="C111" s="70">
        <v>41849</v>
      </c>
      <c r="D111">
        <v>0</v>
      </c>
      <c r="E111" s="70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T111" s="44"/>
    </row>
    <row r="112" spans="1:176" x14ac:dyDescent="0.2">
      <c r="A112" t="s">
        <v>192</v>
      </c>
      <c r="B112" t="s">
        <v>202</v>
      </c>
      <c r="C112" s="70">
        <v>41850</v>
      </c>
      <c r="D112">
        <v>0</v>
      </c>
      <c r="E112" s="70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T112" s="44"/>
    </row>
    <row r="113" spans="1:176" x14ac:dyDescent="0.2">
      <c r="A113" t="s">
        <v>192</v>
      </c>
      <c r="B113" t="s">
        <v>202</v>
      </c>
      <c r="C113" s="70">
        <v>41851</v>
      </c>
      <c r="D113">
        <v>0</v>
      </c>
      <c r="E113" s="70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T113" s="44"/>
    </row>
    <row r="114" spans="1:176" x14ac:dyDescent="0.2">
      <c r="A114" t="s">
        <v>192</v>
      </c>
      <c r="B114" t="s">
        <v>202</v>
      </c>
      <c r="C114" s="70">
        <v>41852</v>
      </c>
      <c r="D114">
        <v>0</v>
      </c>
      <c r="E114" s="70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T114" s="44"/>
    </row>
    <row r="115" spans="1:176" x14ac:dyDescent="0.2">
      <c r="A115" t="s">
        <v>192</v>
      </c>
      <c r="B115" t="s">
        <v>202</v>
      </c>
      <c r="C115" s="70">
        <v>41894</v>
      </c>
      <c r="D115">
        <v>0</v>
      </c>
      <c r="E115" s="70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T115" s="44"/>
    </row>
    <row r="116" spans="1:176" x14ac:dyDescent="0.2">
      <c r="A116" t="s">
        <v>192</v>
      </c>
      <c r="B116" t="s">
        <v>202</v>
      </c>
      <c r="C116" s="70">
        <v>41897</v>
      </c>
      <c r="D116">
        <v>0</v>
      </c>
      <c r="E116" s="70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T116" s="44"/>
    </row>
    <row r="117" spans="1:176" x14ac:dyDescent="0.2">
      <c r="A117" t="s">
        <v>192</v>
      </c>
      <c r="B117" t="s">
        <v>202</v>
      </c>
      <c r="C117" s="70">
        <v>41898</v>
      </c>
      <c r="D117">
        <v>0</v>
      </c>
      <c r="E117" s="70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T117" s="44"/>
    </row>
    <row r="118" spans="1:176" x14ac:dyDescent="0.2">
      <c r="A118" t="s">
        <v>192</v>
      </c>
      <c r="B118" t="s">
        <v>202</v>
      </c>
      <c r="C118" s="70" t="s">
        <v>2</v>
      </c>
      <c r="D118">
        <v>0</v>
      </c>
      <c r="E118" s="70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T118" s="44"/>
    </row>
    <row r="119" spans="1:176" x14ac:dyDescent="0.2">
      <c r="A119" t="s">
        <v>192</v>
      </c>
      <c r="B119" t="s">
        <v>204</v>
      </c>
      <c r="C119" s="70">
        <v>41773</v>
      </c>
      <c r="D119">
        <v>0</v>
      </c>
      <c r="E119" s="70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T119" s="44"/>
    </row>
    <row r="120" spans="1:176" x14ac:dyDescent="0.2">
      <c r="A120" t="s">
        <v>192</v>
      </c>
      <c r="B120" t="s">
        <v>204</v>
      </c>
      <c r="C120" s="70">
        <v>41820</v>
      </c>
      <c r="D120">
        <v>0</v>
      </c>
      <c r="E120" s="7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T120" s="44"/>
    </row>
    <row r="121" spans="1:176" x14ac:dyDescent="0.2">
      <c r="A121" t="s">
        <v>192</v>
      </c>
      <c r="B121" t="s">
        <v>204</v>
      </c>
      <c r="C121" s="70">
        <v>41827</v>
      </c>
      <c r="D121">
        <v>0</v>
      </c>
      <c r="E121" s="70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T121" s="44"/>
    </row>
    <row r="122" spans="1:176" x14ac:dyDescent="0.2">
      <c r="A122" t="s">
        <v>192</v>
      </c>
      <c r="B122" t="s">
        <v>204</v>
      </c>
      <c r="C122" s="70">
        <v>41834</v>
      </c>
      <c r="D122">
        <v>0</v>
      </c>
      <c r="E122" s="70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T122" s="44"/>
    </row>
    <row r="123" spans="1:176" x14ac:dyDescent="0.2">
      <c r="A123" t="s">
        <v>192</v>
      </c>
      <c r="B123" t="s">
        <v>204</v>
      </c>
      <c r="C123" s="70">
        <v>41848</v>
      </c>
      <c r="D123">
        <v>0</v>
      </c>
      <c r="E123" s="70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T123" s="44"/>
    </row>
    <row r="124" spans="1:176" x14ac:dyDescent="0.2">
      <c r="A124" t="s">
        <v>192</v>
      </c>
      <c r="B124" t="s">
        <v>204</v>
      </c>
      <c r="C124" s="70">
        <v>41849</v>
      </c>
      <c r="D124">
        <v>0</v>
      </c>
      <c r="E124" s="70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T124" s="44"/>
    </row>
    <row r="125" spans="1:176" x14ac:dyDescent="0.2">
      <c r="A125" t="s">
        <v>192</v>
      </c>
      <c r="B125" t="s">
        <v>204</v>
      </c>
      <c r="C125" s="70">
        <v>41850</v>
      </c>
      <c r="D125">
        <v>0</v>
      </c>
      <c r="E125" s="70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T125" s="44"/>
    </row>
    <row r="126" spans="1:176" x14ac:dyDescent="0.2">
      <c r="A126" t="s">
        <v>192</v>
      </c>
      <c r="B126" t="s">
        <v>204</v>
      </c>
      <c r="C126" s="70">
        <v>41851</v>
      </c>
      <c r="D126">
        <v>0</v>
      </c>
      <c r="E126" s="70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T126" s="44"/>
    </row>
    <row r="127" spans="1:176" x14ac:dyDescent="0.2">
      <c r="A127" t="s">
        <v>192</v>
      </c>
      <c r="B127" t="s">
        <v>204</v>
      </c>
      <c r="C127" s="70">
        <v>41852</v>
      </c>
      <c r="D127">
        <v>0</v>
      </c>
      <c r="E127" s="70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T127" s="44"/>
    </row>
    <row r="128" spans="1:176" x14ac:dyDescent="0.2">
      <c r="A128" t="s">
        <v>192</v>
      </c>
      <c r="B128" t="s">
        <v>204</v>
      </c>
      <c r="C128" s="70">
        <v>41894</v>
      </c>
      <c r="D128">
        <v>0</v>
      </c>
      <c r="E128" s="70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T128" s="44"/>
    </row>
    <row r="129" spans="1:176" x14ac:dyDescent="0.2">
      <c r="A129" t="s">
        <v>192</v>
      </c>
      <c r="B129" t="s">
        <v>204</v>
      </c>
      <c r="C129" s="70">
        <v>41897</v>
      </c>
      <c r="D129">
        <v>0</v>
      </c>
      <c r="E129" s="70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T129" s="44"/>
    </row>
    <row r="130" spans="1:176" x14ac:dyDescent="0.2">
      <c r="A130" t="s">
        <v>192</v>
      </c>
      <c r="B130" t="s">
        <v>204</v>
      </c>
      <c r="C130" s="70">
        <v>41898</v>
      </c>
      <c r="D130">
        <v>0</v>
      </c>
      <c r="E130" s="7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T130" s="44"/>
    </row>
    <row r="131" spans="1:176" x14ac:dyDescent="0.2">
      <c r="A131" t="s">
        <v>192</v>
      </c>
      <c r="B131" t="s">
        <v>204</v>
      </c>
      <c r="C131" s="70" t="s">
        <v>2</v>
      </c>
      <c r="D131">
        <v>0</v>
      </c>
      <c r="E131" s="70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T131" s="44"/>
    </row>
    <row r="132" spans="1:176" x14ac:dyDescent="0.2">
      <c r="A132" t="s">
        <v>192</v>
      </c>
      <c r="B132" t="s">
        <v>1</v>
      </c>
      <c r="C132" s="70">
        <v>41773</v>
      </c>
      <c r="D132">
        <v>0</v>
      </c>
      <c r="E132" s="70">
        <v>52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T132" s="44"/>
    </row>
    <row r="133" spans="1:176" x14ac:dyDescent="0.2">
      <c r="A133" t="s">
        <v>192</v>
      </c>
      <c r="B133" t="s">
        <v>1</v>
      </c>
      <c r="C133" s="70">
        <v>41820</v>
      </c>
      <c r="D133">
        <v>0</v>
      </c>
      <c r="E133" s="70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T133" s="44"/>
    </row>
    <row r="134" spans="1:176" x14ac:dyDescent="0.2">
      <c r="A134" t="s">
        <v>192</v>
      </c>
      <c r="B134" t="s">
        <v>1</v>
      </c>
      <c r="C134" s="70">
        <v>41827</v>
      </c>
      <c r="D134">
        <v>0</v>
      </c>
      <c r="E134" s="70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T134" s="44"/>
    </row>
    <row r="135" spans="1:176" x14ac:dyDescent="0.2">
      <c r="A135" t="s">
        <v>192</v>
      </c>
      <c r="B135" t="s">
        <v>1</v>
      </c>
      <c r="C135" s="70">
        <v>41834</v>
      </c>
      <c r="D135">
        <v>0</v>
      </c>
      <c r="E135" s="70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T135" s="44"/>
    </row>
    <row r="136" spans="1:176" x14ac:dyDescent="0.2">
      <c r="A136" t="s">
        <v>192</v>
      </c>
      <c r="B136" t="s">
        <v>1</v>
      </c>
      <c r="C136" s="70">
        <v>41848</v>
      </c>
      <c r="D136">
        <v>0</v>
      </c>
      <c r="E136" s="70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T136" s="44"/>
    </row>
    <row r="137" spans="1:176" x14ac:dyDescent="0.2">
      <c r="A137" t="s">
        <v>192</v>
      </c>
      <c r="B137" t="s">
        <v>1</v>
      </c>
      <c r="C137" s="70">
        <v>41849</v>
      </c>
      <c r="D137">
        <v>10</v>
      </c>
      <c r="E137" s="70">
        <v>55</v>
      </c>
      <c r="F137">
        <v>31.918679999999998</v>
      </c>
      <c r="G137">
        <v>31.555520000000001</v>
      </c>
      <c r="H137">
        <v>30.614090000000001</v>
      </c>
      <c r="I137">
        <v>29.726510000000001</v>
      </c>
      <c r="J137">
        <v>29.716519999999999</v>
      </c>
      <c r="K137">
        <v>31.058579999999999</v>
      </c>
      <c r="L137">
        <v>32.289149999999999</v>
      </c>
      <c r="M137">
        <v>33.899360000000001</v>
      </c>
      <c r="N137">
        <v>33.982750000000003</v>
      </c>
      <c r="O137">
        <v>34.341529999999999</v>
      </c>
      <c r="P137">
        <v>34.540889999999997</v>
      </c>
      <c r="Q137">
        <v>35.002470000000002</v>
      </c>
      <c r="R137">
        <v>35.176909999999999</v>
      </c>
      <c r="S137">
        <v>35.543259999999997</v>
      </c>
      <c r="T137">
        <v>36.158520000000003</v>
      </c>
      <c r="U137">
        <v>35.507660000000001</v>
      </c>
      <c r="V137">
        <v>34.655940000000001</v>
      </c>
      <c r="W137">
        <v>34.828980000000001</v>
      </c>
      <c r="X137">
        <v>34.904029999999999</v>
      </c>
      <c r="Y137">
        <v>35.222209999999997</v>
      </c>
      <c r="Z137">
        <v>35.010890000000003</v>
      </c>
      <c r="AA137">
        <v>34.92118</v>
      </c>
      <c r="AB137">
        <v>33.977739999999997</v>
      </c>
      <c r="AC137">
        <v>32.162269999999999</v>
      </c>
      <c r="AD137">
        <v>0.32793070000000002</v>
      </c>
      <c r="AE137">
        <v>0.1527068</v>
      </c>
      <c r="AF137">
        <v>4.9606999999999998E-2</v>
      </c>
      <c r="AG137">
        <v>-3.58599E-2</v>
      </c>
      <c r="AH137">
        <v>-0.1798527</v>
      </c>
      <c r="AI137">
        <v>-4.4469599999999998E-2</v>
      </c>
      <c r="AJ137">
        <v>0.32284780000000002</v>
      </c>
      <c r="AK137">
        <v>0.26017089999999998</v>
      </c>
      <c r="AL137">
        <v>-0.56639779999999995</v>
      </c>
      <c r="AM137">
        <v>-0.60307880000000003</v>
      </c>
      <c r="AN137">
        <v>0.1017658</v>
      </c>
      <c r="AO137">
        <v>0.36334680000000003</v>
      </c>
      <c r="AP137">
        <v>0.16018199999999999</v>
      </c>
      <c r="AQ137">
        <v>0.37361640000000002</v>
      </c>
      <c r="AR137">
        <v>0.44300220000000001</v>
      </c>
      <c r="AS137">
        <v>0.24709819999999999</v>
      </c>
      <c r="AT137">
        <v>0.26694309999999999</v>
      </c>
      <c r="AU137">
        <v>0.14817350000000001</v>
      </c>
      <c r="AV137">
        <v>0.53604350000000001</v>
      </c>
      <c r="AW137">
        <v>0.53029329999999997</v>
      </c>
      <c r="AX137">
        <v>0.38003870000000001</v>
      </c>
      <c r="AY137">
        <v>0.45224639999999999</v>
      </c>
      <c r="AZ137">
        <v>0.3931424</v>
      </c>
      <c r="BA137">
        <v>0.42660340000000002</v>
      </c>
      <c r="BB137">
        <v>0.37522240000000001</v>
      </c>
      <c r="BC137">
        <v>0.20141770000000001</v>
      </c>
      <c r="BD137">
        <v>8.8977899999999999E-2</v>
      </c>
      <c r="BE137">
        <v>1.39141E-2</v>
      </c>
      <c r="BF137">
        <v>-0.13274</v>
      </c>
      <c r="BG137">
        <v>-6.5275999999999997E-3</v>
      </c>
      <c r="BH137">
        <v>0.36187839999999999</v>
      </c>
      <c r="BI137">
        <v>0.30524630000000003</v>
      </c>
      <c r="BJ137">
        <v>-0.51390990000000003</v>
      </c>
      <c r="BK137">
        <v>-0.55478240000000001</v>
      </c>
      <c r="BL137">
        <v>0.1464328</v>
      </c>
      <c r="BM137">
        <v>0.41464269999999998</v>
      </c>
      <c r="BN137">
        <v>0.20875750000000001</v>
      </c>
      <c r="BO137">
        <v>0.42537049999999998</v>
      </c>
      <c r="BP137">
        <v>0.4954884</v>
      </c>
      <c r="BQ137">
        <v>0.29738560000000003</v>
      </c>
      <c r="BR137">
        <v>0.32222030000000002</v>
      </c>
      <c r="BS137">
        <v>0.20529629999999999</v>
      </c>
      <c r="BT137">
        <v>0.59688200000000002</v>
      </c>
      <c r="BU137">
        <v>0.60842689999999999</v>
      </c>
      <c r="BV137">
        <v>0.44289840000000003</v>
      </c>
      <c r="BW137">
        <v>0.50888480000000003</v>
      </c>
      <c r="BX137">
        <v>0.45348749999999999</v>
      </c>
      <c r="BY137">
        <v>0.4884443</v>
      </c>
      <c r="BZ137">
        <v>0.40797640000000002</v>
      </c>
      <c r="CA137">
        <v>0.2351548</v>
      </c>
      <c r="CB137">
        <v>0.1162461</v>
      </c>
      <c r="CC137">
        <v>4.8387399999999997E-2</v>
      </c>
      <c r="CD137">
        <v>-0.1001099</v>
      </c>
      <c r="CE137">
        <v>1.9750799999999999E-2</v>
      </c>
      <c r="CF137">
        <v>0.3889109</v>
      </c>
      <c r="CG137">
        <v>0.33646540000000003</v>
      </c>
      <c r="CH137">
        <v>-0.47755690000000001</v>
      </c>
      <c r="CI137">
        <v>-0.52133240000000003</v>
      </c>
      <c r="CJ137">
        <v>0.177369</v>
      </c>
      <c r="CK137">
        <v>0.45017010000000002</v>
      </c>
      <c r="CL137">
        <v>0.2424008</v>
      </c>
      <c r="CM137">
        <v>0.46121519999999999</v>
      </c>
      <c r="CN137">
        <v>0.53184010000000004</v>
      </c>
      <c r="CO137">
        <v>0.33221450000000002</v>
      </c>
      <c r="CP137">
        <v>0.36050510000000002</v>
      </c>
      <c r="CQ137">
        <v>0.2448594</v>
      </c>
      <c r="CR137">
        <v>0.63901859999999999</v>
      </c>
      <c r="CS137">
        <v>0.66254190000000002</v>
      </c>
      <c r="CT137">
        <v>0.4864348</v>
      </c>
      <c r="CU137">
        <v>0.5481125</v>
      </c>
      <c r="CV137">
        <v>0.49528240000000001</v>
      </c>
      <c r="CW137">
        <v>0.53127500000000005</v>
      </c>
      <c r="CX137">
        <v>0.44073050000000003</v>
      </c>
      <c r="CY137">
        <v>0.26889190000000002</v>
      </c>
      <c r="CZ137">
        <v>0.14351430000000001</v>
      </c>
      <c r="DA137">
        <v>8.2860799999999998E-2</v>
      </c>
      <c r="DB137">
        <v>-6.7479800000000006E-2</v>
      </c>
      <c r="DC137">
        <v>4.6029300000000002E-2</v>
      </c>
      <c r="DD137">
        <v>0.41594340000000002</v>
      </c>
      <c r="DE137">
        <v>0.36768459999999997</v>
      </c>
      <c r="DF137">
        <v>-0.44120389999999998</v>
      </c>
      <c r="DG137">
        <v>-0.4878825</v>
      </c>
      <c r="DH137">
        <v>0.2083052</v>
      </c>
      <c r="DI137">
        <v>0.4856975</v>
      </c>
      <c r="DJ137">
        <v>0.27604400000000001</v>
      </c>
      <c r="DK137">
        <v>0.49706</v>
      </c>
      <c r="DL137">
        <v>0.56819189999999997</v>
      </c>
      <c r="DM137">
        <v>0.36704340000000002</v>
      </c>
      <c r="DN137">
        <v>0.39878989999999997</v>
      </c>
      <c r="DO137">
        <v>0.28442260000000003</v>
      </c>
      <c r="DP137">
        <v>0.68115510000000001</v>
      </c>
      <c r="DQ137">
        <v>0.71665699999999999</v>
      </c>
      <c r="DR137">
        <v>0.52997130000000003</v>
      </c>
      <c r="DS137">
        <v>0.58734010000000003</v>
      </c>
      <c r="DT137">
        <v>0.53707720000000003</v>
      </c>
      <c r="DU137">
        <v>0.5741058</v>
      </c>
      <c r="DV137">
        <v>0.48802220000000002</v>
      </c>
      <c r="DW137">
        <v>0.31760290000000002</v>
      </c>
      <c r="DX137">
        <v>0.1828853</v>
      </c>
      <c r="DY137">
        <v>0.1326348</v>
      </c>
      <c r="DZ137">
        <v>-2.0367199999999998E-2</v>
      </c>
      <c r="EA137">
        <v>8.3971199999999996E-2</v>
      </c>
      <c r="EB137">
        <v>0.45497399999999999</v>
      </c>
      <c r="EC137">
        <v>0.41276000000000002</v>
      </c>
      <c r="ED137">
        <v>-0.38871600000000001</v>
      </c>
      <c r="EE137">
        <v>-0.43958609999999998</v>
      </c>
      <c r="EF137">
        <v>0.25297219999999998</v>
      </c>
      <c r="EG137">
        <v>0.53699339999999995</v>
      </c>
      <c r="EH137">
        <v>0.32461950000000001</v>
      </c>
      <c r="EI137">
        <v>0.54881409999999997</v>
      </c>
      <c r="EJ137">
        <v>0.62067810000000001</v>
      </c>
      <c r="EK137">
        <v>0.4173308</v>
      </c>
      <c r="EL137">
        <v>0.4540671</v>
      </c>
      <c r="EM137">
        <v>0.3415454</v>
      </c>
      <c r="EN137">
        <v>0.74199369999999998</v>
      </c>
      <c r="EO137">
        <v>0.79479049999999996</v>
      </c>
      <c r="EP137">
        <v>0.592831</v>
      </c>
      <c r="EQ137">
        <v>0.64397850000000001</v>
      </c>
      <c r="ER137">
        <v>0.59742240000000002</v>
      </c>
      <c r="ES137">
        <v>0.63594660000000003</v>
      </c>
      <c r="ET137">
        <v>84.5</v>
      </c>
      <c r="EU137">
        <v>84</v>
      </c>
      <c r="EV137">
        <v>82</v>
      </c>
      <c r="EW137">
        <v>81.5</v>
      </c>
      <c r="EX137">
        <v>78.5</v>
      </c>
      <c r="EY137">
        <v>76.5</v>
      </c>
      <c r="EZ137">
        <v>76.5</v>
      </c>
      <c r="FA137">
        <v>78.5</v>
      </c>
      <c r="FB137">
        <v>82</v>
      </c>
      <c r="FC137">
        <v>86</v>
      </c>
      <c r="FD137">
        <v>89</v>
      </c>
      <c r="FE137">
        <v>93</v>
      </c>
      <c r="FF137">
        <v>95</v>
      </c>
      <c r="FG137">
        <v>99</v>
      </c>
      <c r="FH137">
        <v>101.5</v>
      </c>
      <c r="FI137">
        <v>102</v>
      </c>
      <c r="FJ137">
        <v>103</v>
      </c>
      <c r="FK137">
        <v>102</v>
      </c>
      <c r="FL137">
        <v>102</v>
      </c>
      <c r="FM137">
        <v>100.5</v>
      </c>
      <c r="FN137">
        <v>97.5</v>
      </c>
      <c r="FO137">
        <v>94.5</v>
      </c>
      <c r="FP137">
        <v>93</v>
      </c>
      <c r="FQ137">
        <v>90.5</v>
      </c>
      <c r="FR137">
        <v>1</v>
      </c>
      <c r="FT137" s="44"/>
    </row>
    <row r="138" spans="1:176" x14ac:dyDescent="0.2">
      <c r="A138" t="s">
        <v>192</v>
      </c>
      <c r="B138" t="s">
        <v>1</v>
      </c>
      <c r="C138" s="70">
        <v>41850</v>
      </c>
      <c r="D138">
        <v>0</v>
      </c>
      <c r="E138" s="70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T138" s="44"/>
    </row>
    <row r="139" spans="1:176" x14ac:dyDescent="0.2">
      <c r="A139" t="s">
        <v>192</v>
      </c>
      <c r="B139" t="s">
        <v>1</v>
      </c>
      <c r="C139" s="70">
        <v>41851</v>
      </c>
      <c r="D139">
        <v>3</v>
      </c>
      <c r="E139" s="70">
        <v>55</v>
      </c>
      <c r="F139">
        <v>32.784199999999998</v>
      </c>
      <c r="G139">
        <v>32.010440000000003</v>
      </c>
      <c r="H139">
        <v>31.409300000000002</v>
      </c>
      <c r="I139">
        <v>30.680499999999999</v>
      </c>
      <c r="J139">
        <v>31.09713</v>
      </c>
      <c r="K139">
        <v>31.76247</v>
      </c>
      <c r="L139">
        <v>33.248489999999997</v>
      </c>
      <c r="M139">
        <v>34.393500000000003</v>
      </c>
      <c r="N139">
        <v>34.735999999999997</v>
      </c>
      <c r="O139">
        <v>35.401859999999999</v>
      </c>
      <c r="P139">
        <v>35.375190000000003</v>
      </c>
      <c r="Q139">
        <v>35.534089999999999</v>
      </c>
      <c r="R139">
        <v>35.783850000000001</v>
      </c>
      <c r="S139">
        <v>35.778910000000003</v>
      </c>
      <c r="T139">
        <v>36.35812</v>
      </c>
      <c r="U139">
        <v>36.123829999999998</v>
      </c>
      <c r="V139">
        <v>35.536949999999997</v>
      </c>
      <c r="W139">
        <v>36.028849999999998</v>
      </c>
      <c r="X139">
        <v>35.521900000000002</v>
      </c>
      <c r="Y139">
        <v>35.141750000000002</v>
      </c>
      <c r="Z139">
        <v>34.73001</v>
      </c>
      <c r="AA139">
        <v>34.561340000000001</v>
      </c>
      <c r="AB139">
        <v>33.9848</v>
      </c>
      <c r="AC139">
        <v>32.968859999999999</v>
      </c>
      <c r="AD139">
        <v>9.6833100000000005E-2</v>
      </c>
      <c r="AE139">
        <v>7.1104999999999996E-3</v>
      </c>
      <c r="AF139">
        <v>-8.0005499999999993E-2</v>
      </c>
      <c r="AG139">
        <v>-0.12842500000000001</v>
      </c>
      <c r="AH139">
        <v>-6.8206900000000001E-2</v>
      </c>
      <c r="AI139">
        <v>-0.11784070000000001</v>
      </c>
      <c r="AJ139">
        <v>-0.1046633</v>
      </c>
      <c r="AK139">
        <v>-5.5275600000000001E-2</v>
      </c>
      <c r="AL139">
        <v>-8.1238199999999997E-2</v>
      </c>
      <c r="AM139">
        <v>-0.20705709999999999</v>
      </c>
      <c r="AN139">
        <v>1.78274E-2</v>
      </c>
      <c r="AO139">
        <v>-0.1411317</v>
      </c>
      <c r="AP139">
        <v>0.13100970000000001</v>
      </c>
      <c r="AQ139">
        <v>0.43714799999999998</v>
      </c>
      <c r="AR139">
        <v>0.27928930000000002</v>
      </c>
      <c r="AS139">
        <v>0.14552889999999999</v>
      </c>
      <c r="AT139">
        <v>0.23505429999999999</v>
      </c>
      <c r="AU139">
        <v>6.7789000000000002E-2</v>
      </c>
      <c r="AV139">
        <v>7.2939299999999999E-2</v>
      </c>
      <c r="AW139">
        <v>-4.6477999999999998E-2</v>
      </c>
      <c r="AX139">
        <v>-1.6797200000000002E-2</v>
      </c>
      <c r="AY139">
        <v>-1.84362E-2</v>
      </c>
      <c r="AZ139">
        <v>-7.2805599999999998E-2</v>
      </c>
      <c r="BA139">
        <v>2.14507E-2</v>
      </c>
      <c r="BB139">
        <v>0.1194736</v>
      </c>
      <c r="BC139">
        <v>2.83904E-2</v>
      </c>
      <c r="BD139">
        <v>-5.9251400000000003E-2</v>
      </c>
      <c r="BE139">
        <v>-0.106589</v>
      </c>
      <c r="BF139">
        <v>-4.5961500000000002E-2</v>
      </c>
      <c r="BG139">
        <v>-9.7208699999999995E-2</v>
      </c>
      <c r="BH139">
        <v>-8.1205600000000003E-2</v>
      </c>
      <c r="BI139">
        <v>-2.6464399999999999E-2</v>
      </c>
      <c r="BJ139">
        <v>-4.2083599999999999E-2</v>
      </c>
      <c r="BK139">
        <v>-0.17970130000000001</v>
      </c>
      <c r="BL139">
        <v>3.9227600000000001E-2</v>
      </c>
      <c r="BM139">
        <v>-0.1183994</v>
      </c>
      <c r="BN139">
        <v>0.15317910000000001</v>
      </c>
      <c r="BO139">
        <v>0.46229219999999999</v>
      </c>
      <c r="BP139">
        <v>0.30823909999999999</v>
      </c>
      <c r="BQ139">
        <v>0.1750912</v>
      </c>
      <c r="BR139">
        <v>0.27114719999999998</v>
      </c>
      <c r="BS139">
        <v>0.10682850000000001</v>
      </c>
      <c r="BT139">
        <v>0.1121345</v>
      </c>
      <c r="BU139">
        <v>1.35835E-2</v>
      </c>
      <c r="BV139">
        <v>2.2563900000000001E-2</v>
      </c>
      <c r="BW139">
        <v>1.3150500000000001E-2</v>
      </c>
      <c r="BX139">
        <v>-4.1341700000000002E-2</v>
      </c>
      <c r="BY139">
        <v>5.1898199999999998E-2</v>
      </c>
      <c r="BZ139">
        <v>0.1351543</v>
      </c>
      <c r="CA139">
        <v>4.3128800000000002E-2</v>
      </c>
      <c r="CB139">
        <v>-4.4877199999999999E-2</v>
      </c>
      <c r="CC139">
        <v>-9.1465500000000005E-2</v>
      </c>
      <c r="CD139">
        <v>-3.0554399999999999E-2</v>
      </c>
      <c r="CE139">
        <v>-8.2919099999999996E-2</v>
      </c>
      <c r="CF139">
        <v>-6.49589E-2</v>
      </c>
      <c r="CG139">
        <v>-6.5098999999999999E-3</v>
      </c>
      <c r="CH139">
        <v>-1.4965300000000001E-2</v>
      </c>
      <c r="CI139">
        <v>-0.1607547</v>
      </c>
      <c r="CJ139">
        <v>5.4049300000000002E-2</v>
      </c>
      <c r="CK139">
        <v>-0.1026551</v>
      </c>
      <c r="CL139">
        <v>0.1685335</v>
      </c>
      <c r="CM139">
        <v>0.47970689999999999</v>
      </c>
      <c r="CN139">
        <v>0.32828970000000002</v>
      </c>
      <c r="CO139">
        <v>0.19556589999999999</v>
      </c>
      <c r="CP139">
        <v>0.29614499999999999</v>
      </c>
      <c r="CQ139">
        <v>0.13386700000000001</v>
      </c>
      <c r="CR139">
        <v>0.13928099999999999</v>
      </c>
      <c r="CS139">
        <v>5.5182000000000002E-2</v>
      </c>
      <c r="CT139">
        <v>4.9825399999999999E-2</v>
      </c>
      <c r="CU139">
        <v>3.50274E-2</v>
      </c>
      <c r="CV139">
        <v>-1.9549899999999999E-2</v>
      </c>
      <c r="CW139">
        <v>7.2985999999999995E-2</v>
      </c>
      <c r="CX139">
        <v>0.1508351</v>
      </c>
      <c r="CY139">
        <v>5.7867200000000001E-2</v>
      </c>
      <c r="CZ139">
        <v>-3.0503099999999998E-2</v>
      </c>
      <c r="DA139">
        <v>-7.6341900000000004E-2</v>
      </c>
      <c r="DB139">
        <v>-1.5147300000000001E-2</v>
      </c>
      <c r="DC139">
        <v>-6.8629499999999996E-2</v>
      </c>
      <c r="DD139">
        <v>-4.87123E-2</v>
      </c>
      <c r="DE139">
        <v>1.34447E-2</v>
      </c>
      <c r="DF139">
        <v>1.21531E-2</v>
      </c>
      <c r="DG139">
        <v>-0.14180809999999999</v>
      </c>
      <c r="DH139">
        <v>6.8871000000000002E-2</v>
      </c>
      <c r="DI139">
        <v>-8.6910799999999996E-2</v>
      </c>
      <c r="DJ139">
        <v>0.18388789999999999</v>
      </c>
      <c r="DK139">
        <v>0.4971217</v>
      </c>
      <c r="DL139">
        <v>0.34834019999999999</v>
      </c>
      <c r="DM139">
        <v>0.2160407</v>
      </c>
      <c r="DN139">
        <v>0.32114280000000001</v>
      </c>
      <c r="DO139">
        <v>0.16090560000000001</v>
      </c>
      <c r="DP139">
        <v>0.16642760000000001</v>
      </c>
      <c r="DQ139">
        <v>9.6780400000000003E-2</v>
      </c>
      <c r="DR139">
        <v>7.7086799999999997E-2</v>
      </c>
      <c r="DS139">
        <v>5.6904299999999998E-2</v>
      </c>
      <c r="DT139">
        <v>2.2418999999999998E-3</v>
      </c>
      <c r="DU139">
        <v>9.4073799999999999E-2</v>
      </c>
      <c r="DV139">
        <v>0.17347560000000001</v>
      </c>
      <c r="DW139">
        <v>7.9147200000000001E-2</v>
      </c>
      <c r="DX139">
        <v>-9.7490000000000007E-3</v>
      </c>
      <c r="DY139">
        <v>-5.4505900000000003E-2</v>
      </c>
      <c r="DZ139">
        <v>7.0981000000000004E-3</v>
      </c>
      <c r="EA139">
        <v>-4.7997499999999998E-2</v>
      </c>
      <c r="EB139">
        <v>-2.5254599999999999E-2</v>
      </c>
      <c r="EC139">
        <v>4.2255899999999999E-2</v>
      </c>
      <c r="ED139">
        <v>5.1307699999999998E-2</v>
      </c>
      <c r="EE139">
        <v>-0.11445230000000001</v>
      </c>
      <c r="EF139">
        <v>9.0271299999999999E-2</v>
      </c>
      <c r="EG139">
        <v>-6.4178499999999999E-2</v>
      </c>
      <c r="EH139">
        <v>0.2060573</v>
      </c>
      <c r="EI139">
        <v>0.52226589999999995</v>
      </c>
      <c r="EJ139">
        <v>0.37729000000000001</v>
      </c>
      <c r="EK139">
        <v>0.24560299999999999</v>
      </c>
      <c r="EL139">
        <v>0.35723559999999999</v>
      </c>
      <c r="EM139">
        <v>0.19994500000000001</v>
      </c>
      <c r="EN139">
        <v>0.20562279999999999</v>
      </c>
      <c r="EO139">
        <v>0.15684190000000001</v>
      </c>
      <c r="EP139">
        <v>0.116448</v>
      </c>
      <c r="EQ139">
        <v>8.8491100000000003E-2</v>
      </c>
      <c r="ER139">
        <v>3.3705800000000001E-2</v>
      </c>
      <c r="ES139">
        <v>0.1245213</v>
      </c>
      <c r="ET139">
        <v>85.5</v>
      </c>
      <c r="EU139">
        <v>85</v>
      </c>
      <c r="EV139">
        <v>83.5</v>
      </c>
      <c r="EW139">
        <v>82</v>
      </c>
      <c r="EX139">
        <v>80.5</v>
      </c>
      <c r="EY139">
        <v>79</v>
      </c>
      <c r="EZ139">
        <v>78</v>
      </c>
      <c r="FA139">
        <v>80.5</v>
      </c>
      <c r="FB139">
        <v>84</v>
      </c>
      <c r="FC139">
        <v>89</v>
      </c>
      <c r="FD139">
        <v>92.5</v>
      </c>
      <c r="FE139">
        <v>95.5</v>
      </c>
      <c r="FF139">
        <v>98.5</v>
      </c>
      <c r="FG139">
        <v>102</v>
      </c>
      <c r="FH139">
        <v>104.5</v>
      </c>
      <c r="FI139">
        <v>106</v>
      </c>
      <c r="FJ139">
        <v>106.5</v>
      </c>
      <c r="FK139">
        <v>106</v>
      </c>
      <c r="FL139">
        <v>104.5</v>
      </c>
      <c r="FM139">
        <v>102</v>
      </c>
      <c r="FN139">
        <v>99.5</v>
      </c>
      <c r="FO139">
        <v>97</v>
      </c>
      <c r="FP139">
        <v>94.5</v>
      </c>
      <c r="FQ139">
        <v>91.5</v>
      </c>
      <c r="FR139">
        <v>1</v>
      </c>
      <c r="FT139" s="44"/>
    </row>
    <row r="140" spans="1:176" x14ac:dyDescent="0.2">
      <c r="A140" t="s">
        <v>192</v>
      </c>
      <c r="B140" t="s">
        <v>1</v>
      </c>
      <c r="C140" s="70">
        <v>41852</v>
      </c>
      <c r="D140">
        <v>0</v>
      </c>
      <c r="E140" s="7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T140" s="44"/>
    </row>
    <row r="141" spans="1:176" x14ac:dyDescent="0.2">
      <c r="A141" t="s">
        <v>192</v>
      </c>
      <c r="B141" t="s">
        <v>1</v>
      </c>
      <c r="C141" s="70">
        <v>41894</v>
      </c>
      <c r="D141">
        <v>0</v>
      </c>
      <c r="E141" s="70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T141" s="44"/>
    </row>
    <row r="142" spans="1:176" x14ac:dyDescent="0.2">
      <c r="A142" t="s">
        <v>192</v>
      </c>
      <c r="B142" t="s">
        <v>1</v>
      </c>
      <c r="C142" s="70">
        <v>41897</v>
      </c>
      <c r="D142">
        <v>0</v>
      </c>
      <c r="E142" s="70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T142" s="44"/>
    </row>
    <row r="143" spans="1:176" x14ac:dyDescent="0.2">
      <c r="A143" t="s">
        <v>192</v>
      </c>
      <c r="B143" t="s">
        <v>1</v>
      </c>
      <c r="C143" s="70">
        <v>41898</v>
      </c>
      <c r="D143">
        <v>0</v>
      </c>
      <c r="E143" s="70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T143" s="44"/>
    </row>
    <row r="144" spans="1:176" x14ac:dyDescent="0.2">
      <c r="A144" t="s">
        <v>192</v>
      </c>
      <c r="B144" t="s">
        <v>1</v>
      </c>
      <c r="C144" s="70" t="s">
        <v>2</v>
      </c>
      <c r="D144">
        <v>0</v>
      </c>
      <c r="E144" s="70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T144" s="44"/>
    </row>
    <row r="145" spans="1:176" x14ac:dyDescent="0.2">
      <c r="A145" t="s">
        <v>192</v>
      </c>
      <c r="B145" t="s">
        <v>203</v>
      </c>
      <c r="C145" s="70">
        <v>41773</v>
      </c>
      <c r="D145">
        <v>0</v>
      </c>
      <c r="E145" s="70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T145" s="44"/>
    </row>
    <row r="146" spans="1:176" x14ac:dyDescent="0.2">
      <c r="A146" t="s">
        <v>192</v>
      </c>
      <c r="B146" t="s">
        <v>203</v>
      </c>
      <c r="C146" s="70">
        <v>41820</v>
      </c>
      <c r="D146">
        <v>0</v>
      </c>
      <c r="E146" s="70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T146" s="44"/>
    </row>
    <row r="147" spans="1:176" x14ac:dyDescent="0.2">
      <c r="A147" t="s">
        <v>192</v>
      </c>
      <c r="B147" t="s">
        <v>203</v>
      </c>
      <c r="C147" s="70">
        <v>41827</v>
      </c>
      <c r="D147">
        <v>0</v>
      </c>
      <c r="E147" s="70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T147" s="44"/>
    </row>
    <row r="148" spans="1:176" x14ac:dyDescent="0.2">
      <c r="A148" t="s">
        <v>192</v>
      </c>
      <c r="B148" t="s">
        <v>203</v>
      </c>
      <c r="C148" s="70">
        <v>41834</v>
      </c>
      <c r="D148">
        <v>0</v>
      </c>
      <c r="E148" s="70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T148" s="44"/>
    </row>
    <row r="149" spans="1:176" x14ac:dyDescent="0.2">
      <c r="A149" t="s">
        <v>192</v>
      </c>
      <c r="B149" t="s">
        <v>203</v>
      </c>
      <c r="C149" s="70">
        <v>41848</v>
      </c>
      <c r="D149">
        <v>0</v>
      </c>
      <c r="E149" s="70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T149" s="44"/>
    </row>
    <row r="150" spans="1:176" x14ac:dyDescent="0.2">
      <c r="A150" t="s">
        <v>192</v>
      </c>
      <c r="B150" t="s">
        <v>203</v>
      </c>
      <c r="C150" s="70">
        <v>41849</v>
      </c>
      <c r="D150">
        <v>0</v>
      </c>
      <c r="E150" s="7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T150" s="44"/>
    </row>
    <row r="151" spans="1:176" x14ac:dyDescent="0.2">
      <c r="A151" t="s">
        <v>192</v>
      </c>
      <c r="B151" t="s">
        <v>203</v>
      </c>
      <c r="C151" s="70">
        <v>41850</v>
      </c>
      <c r="D151">
        <v>0</v>
      </c>
      <c r="E151" s="70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T151" s="44"/>
    </row>
    <row r="152" spans="1:176" x14ac:dyDescent="0.2">
      <c r="A152" t="s">
        <v>192</v>
      </c>
      <c r="B152" t="s">
        <v>203</v>
      </c>
      <c r="C152" s="70">
        <v>41851</v>
      </c>
      <c r="D152">
        <v>0</v>
      </c>
      <c r="E152" s="70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T152" s="44"/>
    </row>
    <row r="153" spans="1:176" x14ac:dyDescent="0.2">
      <c r="A153" t="s">
        <v>192</v>
      </c>
      <c r="B153" t="s">
        <v>203</v>
      </c>
      <c r="C153" s="70">
        <v>41852</v>
      </c>
      <c r="D153">
        <v>0</v>
      </c>
      <c r="E153" s="70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T153" s="44"/>
    </row>
    <row r="154" spans="1:176" x14ac:dyDescent="0.2">
      <c r="A154" t="s">
        <v>192</v>
      </c>
      <c r="B154" t="s">
        <v>203</v>
      </c>
      <c r="C154" s="70">
        <v>41894</v>
      </c>
      <c r="D154">
        <v>0</v>
      </c>
      <c r="E154" s="70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T154" s="44"/>
    </row>
    <row r="155" spans="1:176" x14ac:dyDescent="0.2">
      <c r="A155" t="s">
        <v>192</v>
      </c>
      <c r="B155" t="s">
        <v>203</v>
      </c>
      <c r="C155" s="70">
        <v>41897</v>
      </c>
      <c r="D155">
        <v>0</v>
      </c>
      <c r="E155" s="70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T155" s="44"/>
    </row>
    <row r="156" spans="1:176" x14ac:dyDescent="0.2">
      <c r="A156" t="s">
        <v>192</v>
      </c>
      <c r="B156" t="s">
        <v>203</v>
      </c>
      <c r="C156" s="70">
        <v>41898</v>
      </c>
      <c r="D156">
        <v>0</v>
      </c>
      <c r="E156" s="70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T156" s="44"/>
    </row>
    <row r="157" spans="1:176" x14ac:dyDescent="0.2">
      <c r="A157" t="s">
        <v>192</v>
      </c>
      <c r="B157" t="s">
        <v>203</v>
      </c>
      <c r="C157" s="70" t="s">
        <v>2</v>
      </c>
      <c r="D157">
        <v>0</v>
      </c>
      <c r="E157" s="70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T157" s="44"/>
    </row>
    <row r="158" spans="1:176" x14ac:dyDescent="0.2">
      <c r="A158" t="s">
        <v>193</v>
      </c>
      <c r="B158" t="s">
        <v>202</v>
      </c>
      <c r="C158" s="70">
        <v>41773</v>
      </c>
      <c r="D158">
        <v>0</v>
      </c>
      <c r="E158" s="70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T158" s="44"/>
    </row>
    <row r="159" spans="1:176" x14ac:dyDescent="0.2">
      <c r="A159" t="s">
        <v>193</v>
      </c>
      <c r="B159" t="s">
        <v>202</v>
      </c>
      <c r="C159" s="70">
        <v>41820</v>
      </c>
      <c r="D159">
        <v>0</v>
      </c>
      <c r="E159" s="70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T159" s="44"/>
    </row>
    <row r="160" spans="1:176" x14ac:dyDescent="0.2">
      <c r="A160" t="s">
        <v>193</v>
      </c>
      <c r="B160" t="s">
        <v>202</v>
      </c>
      <c r="C160" s="70">
        <v>41827</v>
      </c>
      <c r="D160">
        <v>0</v>
      </c>
      <c r="E160" s="7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T160" s="44"/>
    </row>
    <row r="161" spans="1:176" x14ac:dyDescent="0.2">
      <c r="A161" t="s">
        <v>193</v>
      </c>
      <c r="B161" t="s">
        <v>202</v>
      </c>
      <c r="C161" s="70">
        <v>41834</v>
      </c>
      <c r="D161">
        <v>0</v>
      </c>
      <c r="E161" s="70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T161" s="44"/>
    </row>
    <row r="162" spans="1:176" x14ac:dyDescent="0.2">
      <c r="A162" t="s">
        <v>193</v>
      </c>
      <c r="B162" t="s">
        <v>202</v>
      </c>
      <c r="C162" s="70">
        <v>41848</v>
      </c>
      <c r="D162">
        <v>0</v>
      </c>
      <c r="E162" s="70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T162" s="44"/>
    </row>
    <row r="163" spans="1:176" x14ac:dyDescent="0.2">
      <c r="A163" t="s">
        <v>193</v>
      </c>
      <c r="B163" t="s">
        <v>202</v>
      </c>
      <c r="C163" s="70">
        <v>41849</v>
      </c>
      <c r="D163">
        <v>0</v>
      </c>
      <c r="E163" s="70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T163" s="44"/>
    </row>
    <row r="164" spans="1:176" x14ac:dyDescent="0.2">
      <c r="A164" t="s">
        <v>193</v>
      </c>
      <c r="B164" t="s">
        <v>202</v>
      </c>
      <c r="C164" s="70">
        <v>41850</v>
      </c>
      <c r="D164">
        <v>0</v>
      </c>
      <c r="E164" s="70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T164" s="44"/>
    </row>
    <row r="165" spans="1:176" x14ac:dyDescent="0.2">
      <c r="A165" t="s">
        <v>193</v>
      </c>
      <c r="B165" t="s">
        <v>202</v>
      </c>
      <c r="C165" s="70">
        <v>41851</v>
      </c>
      <c r="D165">
        <v>0</v>
      </c>
      <c r="E165" s="70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T165" s="44"/>
    </row>
    <row r="166" spans="1:176" x14ac:dyDescent="0.2">
      <c r="A166" t="s">
        <v>193</v>
      </c>
      <c r="B166" t="s">
        <v>202</v>
      </c>
      <c r="C166" s="70">
        <v>41852</v>
      </c>
      <c r="D166">
        <v>0</v>
      </c>
      <c r="E166" s="70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T166" s="44"/>
    </row>
    <row r="167" spans="1:176" x14ac:dyDescent="0.2">
      <c r="A167" t="s">
        <v>193</v>
      </c>
      <c r="B167" t="s">
        <v>202</v>
      </c>
      <c r="C167" s="70">
        <v>41894</v>
      </c>
      <c r="D167">
        <v>0</v>
      </c>
      <c r="E167" s="70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T167" s="44"/>
    </row>
    <row r="168" spans="1:176" x14ac:dyDescent="0.2">
      <c r="A168" t="s">
        <v>193</v>
      </c>
      <c r="B168" t="s">
        <v>202</v>
      </c>
      <c r="C168" s="70">
        <v>41897</v>
      </c>
      <c r="D168">
        <v>0</v>
      </c>
      <c r="E168" s="70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T168" s="44"/>
    </row>
    <row r="169" spans="1:176" x14ac:dyDescent="0.2">
      <c r="A169" t="s">
        <v>193</v>
      </c>
      <c r="B169" t="s">
        <v>202</v>
      </c>
      <c r="C169" s="70">
        <v>41898</v>
      </c>
      <c r="D169">
        <v>0</v>
      </c>
      <c r="E169" s="70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T169" s="44"/>
    </row>
    <row r="170" spans="1:176" x14ac:dyDescent="0.2">
      <c r="A170" t="s">
        <v>193</v>
      </c>
      <c r="B170" t="s">
        <v>202</v>
      </c>
      <c r="C170" s="70" t="s">
        <v>2</v>
      </c>
      <c r="D170">
        <v>0</v>
      </c>
      <c r="E170" s="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T170" s="44"/>
    </row>
    <row r="171" spans="1:176" x14ac:dyDescent="0.2">
      <c r="A171" t="s">
        <v>193</v>
      </c>
      <c r="B171" t="s">
        <v>204</v>
      </c>
      <c r="C171" s="70">
        <v>41773</v>
      </c>
      <c r="D171">
        <v>0</v>
      </c>
      <c r="E171" s="70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T171" s="44"/>
    </row>
    <row r="172" spans="1:176" x14ac:dyDescent="0.2">
      <c r="A172" t="s">
        <v>193</v>
      </c>
      <c r="B172" t="s">
        <v>204</v>
      </c>
      <c r="C172" s="70">
        <v>41820</v>
      </c>
      <c r="D172">
        <v>0</v>
      </c>
      <c r="E172" s="70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T172" s="44"/>
    </row>
    <row r="173" spans="1:176" x14ac:dyDescent="0.2">
      <c r="A173" t="s">
        <v>193</v>
      </c>
      <c r="B173" t="s">
        <v>204</v>
      </c>
      <c r="C173" s="70">
        <v>41827</v>
      </c>
      <c r="D173">
        <v>0</v>
      </c>
      <c r="E173" s="70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T173" s="44"/>
    </row>
    <row r="174" spans="1:176" x14ac:dyDescent="0.2">
      <c r="A174" t="s">
        <v>193</v>
      </c>
      <c r="B174" t="s">
        <v>204</v>
      </c>
      <c r="C174" s="70">
        <v>41834</v>
      </c>
      <c r="D174">
        <v>0</v>
      </c>
      <c r="E174" s="70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T174" s="44"/>
    </row>
    <row r="175" spans="1:176" x14ac:dyDescent="0.2">
      <c r="A175" t="s">
        <v>193</v>
      </c>
      <c r="B175" t="s">
        <v>204</v>
      </c>
      <c r="C175" s="70">
        <v>41848</v>
      </c>
      <c r="D175">
        <v>0</v>
      </c>
      <c r="E175" s="70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T175" s="44"/>
    </row>
    <row r="176" spans="1:176" x14ac:dyDescent="0.2">
      <c r="A176" t="s">
        <v>193</v>
      </c>
      <c r="B176" t="s">
        <v>204</v>
      </c>
      <c r="C176" s="70">
        <v>41849</v>
      </c>
      <c r="D176">
        <v>0</v>
      </c>
      <c r="E176" s="70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T176" s="44"/>
    </row>
    <row r="177" spans="1:176" x14ac:dyDescent="0.2">
      <c r="A177" t="s">
        <v>193</v>
      </c>
      <c r="B177" t="s">
        <v>204</v>
      </c>
      <c r="C177" s="70">
        <v>41850</v>
      </c>
      <c r="D177">
        <v>0</v>
      </c>
      <c r="E177" s="70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T177" s="44"/>
    </row>
    <row r="178" spans="1:176" x14ac:dyDescent="0.2">
      <c r="A178" t="s">
        <v>193</v>
      </c>
      <c r="B178" t="s">
        <v>204</v>
      </c>
      <c r="C178" s="70">
        <v>41851</v>
      </c>
      <c r="D178">
        <v>0</v>
      </c>
      <c r="E178" s="70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T178" s="44"/>
    </row>
    <row r="179" spans="1:176" x14ac:dyDescent="0.2">
      <c r="A179" t="s">
        <v>193</v>
      </c>
      <c r="B179" t="s">
        <v>204</v>
      </c>
      <c r="C179" s="70">
        <v>41852</v>
      </c>
      <c r="D179">
        <v>0</v>
      </c>
      <c r="E179" s="70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T179" s="44"/>
    </row>
    <row r="180" spans="1:176" x14ac:dyDescent="0.2">
      <c r="A180" t="s">
        <v>193</v>
      </c>
      <c r="B180" t="s">
        <v>204</v>
      </c>
      <c r="C180" s="70">
        <v>41894</v>
      </c>
      <c r="D180">
        <v>0</v>
      </c>
      <c r="E180" s="7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T180" s="44"/>
    </row>
    <row r="181" spans="1:176" x14ac:dyDescent="0.2">
      <c r="A181" t="s">
        <v>193</v>
      </c>
      <c r="B181" t="s">
        <v>204</v>
      </c>
      <c r="C181" s="70">
        <v>41897</v>
      </c>
      <c r="D181">
        <v>0</v>
      </c>
      <c r="E181" s="70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T181" s="44"/>
    </row>
    <row r="182" spans="1:176" x14ac:dyDescent="0.2">
      <c r="A182" t="s">
        <v>193</v>
      </c>
      <c r="B182" t="s">
        <v>204</v>
      </c>
      <c r="C182" s="70">
        <v>41898</v>
      </c>
      <c r="D182">
        <v>0</v>
      </c>
      <c r="E182" s="70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T182" s="44"/>
    </row>
    <row r="183" spans="1:176" x14ac:dyDescent="0.2">
      <c r="A183" t="s">
        <v>193</v>
      </c>
      <c r="B183" t="s">
        <v>204</v>
      </c>
      <c r="C183" s="70" t="s">
        <v>2</v>
      </c>
      <c r="D183">
        <v>0</v>
      </c>
      <c r="E183" s="70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T183" s="44"/>
    </row>
    <row r="184" spans="1:176" x14ac:dyDescent="0.2">
      <c r="A184" t="s">
        <v>193</v>
      </c>
      <c r="B184" t="s">
        <v>1</v>
      </c>
      <c r="C184" s="70">
        <v>41773</v>
      </c>
      <c r="D184">
        <v>0</v>
      </c>
      <c r="E184" s="70">
        <v>15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T184" s="44"/>
    </row>
    <row r="185" spans="1:176" x14ac:dyDescent="0.2">
      <c r="A185" t="s">
        <v>193</v>
      </c>
      <c r="B185" t="s">
        <v>1</v>
      </c>
      <c r="C185" s="70">
        <v>41820</v>
      </c>
      <c r="D185">
        <v>0</v>
      </c>
      <c r="E185" s="70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T185" s="44"/>
    </row>
    <row r="186" spans="1:176" x14ac:dyDescent="0.2">
      <c r="A186" t="s">
        <v>193</v>
      </c>
      <c r="B186" t="s">
        <v>1</v>
      </c>
      <c r="C186" s="70">
        <v>41827</v>
      </c>
      <c r="D186">
        <v>0</v>
      </c>
      <c r="E186" s="70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T186" s="44"/>
    </row>
    <row r="187" spans="1:176" x14ac:dyDescent="0.2">
      <c r="A187" t="s">
        <v>193</v>
      </c>
      <c r="B187" t="s">
        <v>1</v>
      </c>
      <c r="C187" s="70">
        <v>41834</v>
      </c>
      <c r="D187">
        <v>0</v>
      </c>
      <c r="E187" s="70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T187" s="44"/>
    </row>
    <row r="188" spans="1:176" x14ac:dyDescent="0.2">
      <c r="A188" t="s">
        <v>193</v>
      </c>
      <c r="B188" t="s">
        <v>1</v>
      </c>
      <c r="C188" s="70">
        <v>41848</v>
      </c>
      <c r="D188">
        <v>0</v>
      </c>
      <c r="E188" s="70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T188" s="44"/>
    </row>
    <row r="189" spans="1:176" x14ac:dyDescent="0.2">
      <c r="A189" t="s">
        <v>193</v>
      </c>
      <c r="B189" t="s">
        <v>1</v>
      </c>
      <c r="C189" s="70">
        <v>41849</v>
      </c>
      <c r="D189">
        <v>0</v>
      </c>
      <c r="E189" s="70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T189" s="44"/>
    </row>
    <row r="190" spans="1:176" x14ac:dyDescent="0.2">
      <c r="A190" t="s">
        <v>193</v>
      </c>
      <c r="B190" t="s">
        <v>1</v>
      </c>
      <c r="C190" s="70">
        <v>41850</v>
      </c>
      <c r="D190">
        <v>0</v>
      </c>
      <c r="E190" s="7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T190" s="44"/>
    </row>
    <row r="191" spans="1:176" x14ac:dyDescent="0.2">
      <c r="A191" t="s">
        <v>193</v>
      </c>
      <c r="B191" t="s">
        <v>1</v>
      </c>
      <c r="C191" s="70">
        <v>41851</v>
      </c>
      <c r="D191">
        <v>0</v>
      </c>
      <c r="E191" s="70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T191" s="44"/>
    </row>
    <row r="192" spans="1:176" x14ac:dyDescent="0.2">
      <c r="A192" t="s">
        <v>193</v>
      </c>
      <c r="B192" t="s">
        <v>1</v>
      </c>
      <c r="C192" s="70">
        <v>41852</v>
      </c>
      <c r="D192">
        <v>0</v>
      </c>
      <c r="E192" s="70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T192" s="44"/>
    </row>
    <row r="193" spans="1:176" x14ac:dyDescent="0.2">
      <c r="A193" t="s">
        <v>193</v>
      </c>
      <c r="B193" t="s">
        <v>1</v>
      </c>
      <c r="C193" s="70">
        <v>41894</v>
      </c>
      <c r="D193">
        <v>0</v>
      </c>
      <c r="E193" s="70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T193" s="44"/>
    </row>
    <row r="194" spans="1:176" x14ac:dyDescent="0.2">
      <c r="A194" t="s">
        <v>193</v>
      </c>
      <c r="B194" t="s">
        <v>1</v>
      </c>
      <c r="C194" s="70">
        <v>41897</v>
      </c>
      <c r="D194">
        <v>0</v>
      </c>
      <c r="E194" s="70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T194" s="44"/>
    </row>
    <row r="195" spans="1:176" x14ac:dyDescent="0.2">
      <c r="A195" t="s">
        <v>193</v>
      </c>
      <c r="B195" t="s">
        <v>1</v>
      </c>
      <c r="C195" s="70">
        <v>41898</v>
      </c>
      <c r="D195">
        <v>0</v>
      </c>
      <c r="E195" s="70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T195" s="44"/>
    </row>
    <row r="196" spans="1:176" x14ac:dyDescent="0.2">
      <c r="A196" t="s">
        <v>193</v>
      </c>
      <c r="B196" t="s">
        <v>1</v>
      </c>
      <c r="C196" s="70" t="s">
        <v>2</v>
      </c>
      <c r="D196">
        <v>0</v>
      </c>
      <c r="E196" s="70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T196" s="44"/>
    </row>
    <row r="197" spans="1:176" x14ac:dyDescent="0.2">
      <c r="A197" t="s">
        <v>193</v>
      </c>
      <c r="B197" t="s">
        <v>203</v>
      </c>
      <c r="C197" s="70">
        <v>41773</v>
      </c>
      <c r="D197">
        <v>0</v>
      </c>
      <c r="E197" s="70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T197" s="44"/>
    </row>
    <row r="198" spans="1:176" x14ac:dyDescent="0.2">
      <c r="A198" t="s">
        <v>193</v>
      </c>
      <c r="B198" t="s">
        <v>203</v>
      </c>
      <c r="C198" s="70">
        <v>41820</v>
      </c>
      <c r="D198">
        <v>0</v>
      </c>
      <c r="E198" s="70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T198" s="44"/>
    </row>
    <row r="199" spans="1:176" x14ac:dyDescent="0.2">
      <c r="A199" t="s">
        <v>193</v>
      </c>
      <c r="B199" t="s">
        <v>203</v>
      </c>
      <c r="C199" s="70">
        <v>41827</v>
      </c>
      <c r="D199">
        <v>0</v>
      </c>
      <c r="E199" s="70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T199" s="44"/>
    </row>
    <row r="200" spans="1:176" x14ac:dyDescent="0.2">
      <c r="A200" t="s">
        <v>193</v>
      </c>
      <c r="B200" t="s">
        <v>203</v>
      </c>
      <c r="C200" s="70">
        <v>41834</v>
      </c>
      <c r="D200">
        <v>0</v>
      </c>
      <c r="E200" s="7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T200" s="44"/>
    </row>
    <row r="201" spans="1:176" x14ac:dyDescent="0.2">
      <c r="A201" t="s">
        <v>193</v>
      </c>
      <c r="B201" t="s">
        <v>203</v>
      </c>
      <c r="C201" s="70">
        <v>41848</v>
      </c>
      <c r="D201">
        <v>0</v>
      </c>
      <c r="E201" s="70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T201" s="44"/>
    </row>
    <row r="202" spans="1:176" x14ac:dyDescent="0.2">
      <c r="A202" t="s">
        <v>193</v>
      </c>
      <c r="B202" t="s">
        <v>203</v>
      </c>
      <c r="C202" s="70">
        <v>41849</v>
      </c>
      <c r="D202">
        <v>0</v>
      </c>
      <c r="E202" s="70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T202" s="44"/>
    </row>
    <row r="203" spans="1:176" x14ac:dyDescent="0.2">
      <c r="A203" t="s">
        <v>193</v>
      </c>
      <c r="B203" t="s">
        <v>203</v>
      </c>
      <c r="C203" s="70">
        <v>41850</v>
      </c>
      <c r="D203">
        <v>0</v>
      </c>
      <c r="E203" s="70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T203" s="44"/>
    </row>
    <row r="204" spans="1:176" x14ac:dyDescent="0.2">
      <c r="A204" t="s">
        <v>193</v>
      </c>
      <c r="B204" t="s">
        <v>203</v>
      </c>
      <c r="C204" s="70">
        <v>41851</v>
      </c>
      <c r="D204">
        <v>0</v>
      </c>
      <c r="E204" s="70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T204" s="44"/>
    </row>
    <row r="205" spans="1:176" x14ac:dyDescent="0.2">
      <c r="A205" t="s">
        <v>193</v>
      </c>
      <c r="B205" t="s">
        <v>203</v>
      </c>
      <c r="C205" s="70">
        <v>41852</v>
      </c>
      <c r="D205">
        <v>0</v>
      </c>
      <c r="E205" s="70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T205" s="44"/>
    </row>
    <row r="206" spans="1:176" x14ac:dyDescent="0.2">
      <c r="A206" t="s">
        <v>193</v>
      </c>
      <c r="B206" t="s">
        <v>203</v>
      </c>
      <c r="C206" s="70">
        <v>41894</v>
      </c>
      <c r="D206">
        <v>0</v>
      </c>
      <c r="E206" s="70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T206" s="44"/>
    </row>
    <row r="207" spans="1:176" x14ac:dyDescent="0.2">
      <c r="A207" t="s">
        <v>193</v>
      </c>
      <c r="B207" t="s">
        <v>203</v>
      </c>
      <c r="C207" s="70">
        <v>41897</v>
      </c>
      <c r="D207">
        <v>0</v>
      </c>
      <c r="E207" s="70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T207" s="44"/>
    </row>
    <row r="208" spans="1:176" x14ac:dyDescent="0.2">
      <c r="A208" t="s">
        <v>193</v>
      </c>
      <c r="B208" t="s">
        <v>203</v>
      </c>
      <c r="C208" s="70">
        <v>41898</v>
      </c>
      <c r="D208">
        <v>0</v>
      </c>
      <c r="E208" s="70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T208" s="44"/>
    </row>
    <row r="209" spans="1:176" x14ac:dyDescent="0.2">
      <c r="A209" t="s">
        <v>193</v>
      </c>
      <c r="B209" t="s">
        <v>203</v>
      </c>
      <c r="C209" s="70" t="s">
        <v>2</v>
      </c>
      <c r="D209">
        <v>0</v>
      </c>
      <c r="E209" s="70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T209" s="44"/>
    </row>
    <row r="210" spans="1:176" x14ac:dyDescent="0.2">
      <c r="A210" t="s">
        <v>194</v>
      </c>
      <c r="B210" t="s">
        <v>202</v>
      </c>
      <c r="C210" s="70">
        <v>41773</v>
      </c>
      <c r="D210">
        <v>0</v>
      </c>
      <c r="E210" s="7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T210" s="44"/>
    </row>
    <row r="211" spans="1:176" x14ac:dyDescent="0.2">
      <c r="A211" t="s">
        <v>194</v>
      </c>
      <c r="B211" t="s">
        <v>202</v>
      </c>
      <c r="C211" s="70">
        <v>41820</v>
      </c>
      <c r="D211">
        <v>0</v>
      </c>
      <c r="E211" s="70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T211" s="44"/>
    </row>
    <row r="212" spans="1:176" x14ac:dyDescent="0.2">
      <c r="A212" t="s">
        <v>194</v>
      </c>
      <c r="B212" t="s">
        <v>202</v>
      </c>
      <c r="C212" s="70">
        <v>41827</v>
      </c>
      <c r="D212">
        <v>0</v>
      </c>
      <c r="E212" s="70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T212" s="44"/>
    </row>
    <row r="213" spans="1:176" x14ac:dyDescent="0.2">
      <c r="A213" t="s">
        <v>194</v>
      </c>
      <c r="B213" t="s">
        <v>202</v>
      </c>
      <c r="C213" s="70">
        <v>41834</v>
      </c>
      <c r="D213">
        <v>0</v>
      </c>
      <c r="E213" s="70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T213" s="44"/>
    </row>
    <row r="214" spans="1:176" x14ac:dyDescent="0.2">
      <c r="A214" t="s">
        <v>194</v>
      </c>
      <c r="B214" t="s">
        <v>202</v>
      </c>
      <c r="C214" s="70">
        <v>41848</v>
      </c>
      <c r="D214">
        <v>0</v>
      </c>
      <c r="E214" s="70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T214" s="44"/>
    </row>
    <row r="215" spans="1:176" x14ac:dyDescent="0.2">
      <c r="A215" t="s">
        <v>194</v>
      </c>
      <c r="B215" t="s">
        <v>202</v>
      </c>
      <c r="C215" s="70">
        <v>41849</v>
      </c>
      <c r="D215">
        <v>0</v>
      </c>
      <c r="E215" s="70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T215" s="44"/>
    </row>
    <row r="216" spans="1:176" x14ac:dyDescent="0.2">
      <c r="A216" t="s">
        <v>194</v>
      </c>
      <c r="B216" t="s">
        <v>202</v>
      </c>
      <c r="C216" s="70">
        <v>41850</v>
      </c>
      <c r="D216">
        <v>0</v>
      </c>
      <c r="E216" s="70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T216" s="44"/>
    </row>
    <row r="217" spans="1:176" x14ac:dyDescent="0.2">
      <c r="A217" t="s">
        <v>194</v>
      </c>
      <c r="B217" t="s">
        <v>202</v>
      </c>
      <c r="C217" s="70">
        <v>41851</v>
      </c>
      <c r="D217">
        <v>0</v>
      </c>
      <c r="E217" s="70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T217" s="44"/>
    </row>
    <row r="218" spans="1:176" x14ac:dyDescent="0.2">
      <c r="A218" t="s">
        <v>194</v>
      </c>
      <c r="B218" t="s">
        <v>202</v>
      </c>
      <c r="C218" s="70">
        <v>41852</v>
      </c>
      <c r="D218">
        <v>0</v>
      </c>
      <c r="E218" s="70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T218" s="44"/>
    </row>
    <row r="219" spans="1:176" x14ac:dyDescent="0.2">
      <c r="A219" t="s">
        <v>194</v>
      </c>
      <c r="B219" t="s">
        <v>202</v>
      </c>
      <c r="C219" s="70">
        <v>41894</v>
      </c>
      <c r="D219">
        <v>0</v>
      </c>
      <c r="E219" s="70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T219" s="44"/>
    </row>
    <row r="220" spans="1:176" x14ac:dyDescent="0.2">
      <c r="A220" t="s">
        <v>194</v>
      </c>
      <c r="B220" t="s">
        <v>202</v>
      </c>
      <c r="C220" s="70">
        <v>41897</v>
      </c>
      <c r="D220">
        <v>0</v>
      </c>
      <c r="E220" s="7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T220" s="44"/>
    </row>
    <row r="221" spans="1:176" x14ac:dyDescent="0.2">
      <c r="A221" t="s">
        <v>194</v>
      </c>
      <c r="B221" t="s">
        <v>202</v>
      </c>
      <c r="C221" s="70">
        <v>41898</v>
      </c>
      <c r="D221">
        <v>0</v>
      </c>
      <c r="E221" s="70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T221" s="44"/>
    </row>
    <row r="222" spans="1:176" x14ac:dyDescent="0.2">
      <c r="A222" t="s">
        <v>194</v>
      </c>
      <c r="B222" t="s">
        <v>202</v>
      </c>
      <c r="C222" s="70" t="s">
        <v>2</v>
      </c>
      <c r="D222">
        <v>0</v>
      </c>
      <c r="E222" s="70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T222" s="44"/>
    </row>
    <row r="223" spans="1:176" x14ac:dyDescent="0.2">
      <c r="A223" t="s">
        <v>194</v>
      </c>
      <c r="B223" t="s">
        <v>204</v>
      </c>
      <c r="C223" s="70">
        <v>41773</v>
      </c>
      <c r="D223">
        <v>0</v>
      </c>
      <c r="E223" s="70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T223" s="44"/>
    </row>
    <row r="224" spans="1:176" x14ac:dyDescent="0.2">
      <c r="A224" t="s">
        <v>194</v>
      </c>
      <c r="B224" t="s">
        <v>204</v>
      </c>
      <c r="C224" s="70">
        <v>41820</v>
      </c>
      <c r="D224">
        <v>0</v>
      </c>
      <c r="E224" s="70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T224" s="44"/>
    </row>
    <row r="225" spans="1:176" x14ac:dyDescent="0.2">
      <c r="A225" t="s">
        <v>194</v>
      </c>
      <c r="B225" t="s">
        <v>204</v>
      </c>
      <c r="C225" s="70">
        <v>41827</v>
      </c>
      <c r="D225">
        <v>0</v>
      </c>
      <c r="E225" s="70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T225" s="44"/>
    </row>
    <row r="226" spans="1:176" x14ac:dyDescent="0.2">
      <c r="A226" t="s">
        <v>194</v>
      </c>
      <c r="B226" t="s">
        <v>204</v>
      </c>
      <c r="C226" s="70">
        <v>41834</v>
      </c>
      <c r="D226">
        <v>0</v>
      </c>
      <c r="E226" s="70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T226" s="44"/>
    </row>
    <row r="227" spans="1:176" x14ac:dyDescent="0.2">
      <c r="A227" t="s">
        <v>194</v>
      </c>
      <c r="B227" t="s">
        <v>204</v>
      </c>
      <c r="C227" s="70">
        <v>41848</v>
      </c>
      <c r="D227">
        <v>0</v>
      </c>
      <c r="E227" s="70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T227" s="44"/>
    </row>
    <row r="228" spans="1:176" x14ac:dyDescent="0.2">
      <c r="A228" t="s">
        <v>194</v>
      </c>
      <c r="B228" t="s">
        <v>204</v>
      </c>
      <c r="C228" s="70">
        <v>41849</v>
      </c>
      <c r="D228">
        <v>0</v>
      </c>
      <c r="E228" s="70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T228" s="44"/>
    </row>
    <row r="229" spans="1:176" x14ac:dyDescent="0.2">
      <c r="A229" t="s">
        <v>194</v>
      </c>
      <c r="B229" t="s">
        <v>204</v>
      </c>
      <c r="C229" s="70">
        <v>41850</v>
      </c>
      <c r="D229">
        <v>0</v>
      </c>
      <c r="E229" s="70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T229" s="44"/>
    </row>
    <row r="230" spans="1:176" x14ac:dyDescent="0.2">
      <c r="A230" t="s">
        <v>194</v>
      </c>
      <c r="B230" t="s">
        <v>204</v>
      </c>
      <c r="C230" s="70">
        <v>41851</v>
      </c>
      <c r="D230">
        <v>0</v>
      </c>
      <c r="E230" s="7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T230" s="44"/>
    </row>
    <row r="231" spans="1:176" x14ac:dyDescent="0.2">
      <c r="A231" t="s">
        <v>194</v>
      </c>
      <c r="B231" t="s">
        <v>204</v>
      </c>
      <c r="C231" s="70">
        <v>41852</v>
      </c>
      <c r="D231">
        <v>0</v>
      </c>
      <c r="E231" s="70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T231" s="44"/>
    </row>
    <row r="232" spans="1:176" x14ac:dyDescent="0.2">
      <c r="A232" t="s">
        <v>194</v>
      </c>
      <c r="B232" t="s">
        <v>204</v>
      </c>
      <c r="C232" s="70">
        <v>41894</v>
      </c>
      <c r="D232">
        <v>0</v>
      </c>
      <c r="E232" s="70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T232" s="44"/>
    </row>
    <row r="233" spans="1:176" x14ac:dyDescent="0.2">
      <c r="A233" t="s">
        <v>194</v>
      </c>
      <c r="B233" t="s">
        <v>204</v>
      </c>
      <c r="C233" s="70">
        <v>41897</v>
      </c>
      <c r="D233">
        <v>0</v>
      </c>
      <c r="E233" s="70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T233" s="44"/>
    </row>
    <row r="234" spans="1:176" x14ac:dyDescent="0.2">
      <c r="A234" t="s">
        <v>194</v>
      </c>
      <c r="B234" t="s">
        <v>204</v>
      </c>
      <c r="C234" s="70">
        <v>41898</v>
      </c>
      <c r="D234">
        <v>0</v>
      </c>
      <c r="E234" s="70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T234" s="44"/>
    </row>
    <row r="235" spans="1:176" x14ac:dyDescent="0.2">
      <c r="A235" t="s">
        <v>194</v>
      </c>
      <c r="B235" t="s">
        <v>204</v>
      </c>
      <c r="C235" s="70" t="s">
        <v>2</v>
      </c>
      <c r="D235">
        <v>0</v>
      </c>
      <c r="E235" s="70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T235" s="44"/>
    </row>
    <row r="236" spans="1:176" x14ac:dyDescent="0.2">
      <c r="A236" t="s">
        <v>194</v>
      </c>
      <c r="B236" t="s">
        <v>1</v>
      </c>
      <c r="C236" s="70">
        <v>41773</v>
      </c>
      <c r="D236">
        <v>0</v>
      </c>
      <c r="E236" s="70">
        <v>42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T236" s="44"/>
    </row>
    <row r="237" spans="1:176" x14ac:dyDescent="0.2">
      <c r="A237" t="s">
        <v>194</v>
      </c>
      <c r="B237" t="s">
        <v>1</v>
      </c>
      <c r="C237" s="70">
        <v>41820</v>
      </c>
      <c r="D237">
        <v>0</v>
      </c>
      <c r="E237" s="70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T237" s="44"/>
    </row>
    <row r="238" spans="1:176" x14ac:dyDescent="0.2">
      <c r="A238" t="s">
        <v>194</v>
      </c>
      <c r="B238" t="s">
        <v>1</v>
      </c>
      <c r="C238" s="70">
        <v>41827</v>
      </c>
      <c r="D238">
        <v>0</v>
      </c>
      <c r="E238" s="70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T238" s="44"/>
    </row>
    <row r="239" spans="1:176" x14ac:dyDescent="0.2">
      <c r="A239" t="s">
        <v>194</v>
      </c>
      <c r="B239" t="s">
        <v>1</v>
      </c>
      <c r="C239" s="70">
        <v>41834</v>
      </c>
      <c r="D239">
        <v>0</v>
      </c>
      <c r="E239" s="70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T239" s="44"/>
    </row>
    <row r="240" spans="1:176" x14ac:dyDescent="0.2">
      <c r="A240" t="s">
        <v>194</v>
      </c>
      <c r="B240" t="s">
        <v>1</v>
      </c>
      <c r="C240" s="70">
        <v>41848</v>
      </c>
      <c r="D240">
        <v>0</v>
      </c>
      <c r="E240" s="7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T240" s="44"/>
    </row>
    <row r="241" spans="1:176" x14ac:dyDescent="0.2">
      <c r="A241" t="s">
        <v>194</v>
      </c>
      <c r="B241" t="s">
        <v>1</v>
      </c>
      <c r="C241" s="70">
        <v>41849</v>
      </c>
      <c r="D241">
        <v>0</v>
      </c>
      <c r="E241" s="70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T241" s="44"/>
    </row>
    <row r="242" spans="1:176" x14ac:dyDescent="0.2">
      <c r="A242" t="s">
        <v>194</v>
      </c>
      <c r="B242" t="s">
        <v>1</v>
      </c>
      <c r="C242" s="70">
        <v>41850</v>
      </c>
      <c r="D242">
        <v>0</v>
      </c>
      <c r="E242" s="70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T242" s="44"/>
    </row>
    <row r="243" spans="1:176" x14ac:dyDescent="0.2">
      <c r="A243" t="s">
        <v>194</v>
      </c>
      <c r="B243" t="s">
        <v>1</v>
      </c>
      <c r="C243" s="70">
        <v>41851</v>
      </c>
      <c r="D243">
        <v>0</v>
      </c>
      <c r="E243" s="70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T243" s="44"/>
    </row>
    <row r="244" spans="1:176" x14ac:dyDescent="0.2">
      <c r="A244" t="s">
        <v>194</v>
      </c>
      <c r="B244" t="s">
        <v>1</v>
      </c>
      <c r="C244" s="70">
        <v>41852</v>
      </c>
      <c r="D244">
        <v>0</v>
      </c>
      <c r="E244" s="70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T244" s="44"/>
    </row>
    <row r="245" spans="1:176" x14ac:dyDescent="0.2">
      <c r="A245" t="s">
        <v>194</v>
      </c>
      <c r="B245" t="s">
        <v>1</v>
      </c>
      <c r="C245" s="70">
        <v>41894</v>
      </c>
      <c r="D245">
        <v>0</v>
      </c>
      <c r="E245" s="70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T245" s="44"/>
    </row>
    <row r="246" spans="1:176" x14ac:dyDescent="0.2">
      <c r="A246" t="s">
        <v>194</v>
      </c>
      <c r="B246" t="s">
        <v>1</v>
      </c>
      <c r="C246" s="70">
        <v>41897</v>
      </c>
      <c r="D246">
        <v>0</v>
      </c>
      <c r="E246" s="70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T246" s="44"/>
    </row>
    <row r="247" spans="1:176" x14ac:dyDescent="0.2">
      <c r="A247" t="s">
        <v>194</v>
      </c>
      <c r="B247" t="s">
        <v>1</v>
      </c>
      <c r="C247" s="70">
        <v>41898</v>
      </c>
      <c r="D247">
        <v>0</v>
      </c>
      <c r="E247" s="70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T247" s="44"/>
    </row>
    <row r="248" spans="1:176" x14ac:dyDescent="0.2">
      <c r="A248" t="s">
        <v>194</v>
      </c>
      <c r="B248" t="s">
        <v>1</v>
      </c>
      <c r="C248" s="70" t="s">
        <v>2</v>
      </c>
      <c r="D248">
        <v>0</v>
      </c>
      <c r="E248" s="70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T248" s="44"/>
    </row>
    <row r="249" spans="1:176" x14ac:dyDescent="0.2">
      <c r="A249" t="s">
        <v>194</v>
      </c>
      <c r="B249" t="s">
        <v>203</v>
      </c>
      <c r="C249" s="70">
        <v>41773</v>
      </c>
      <c r="D249">
        <v>0</v>
      </c>
      <c r="E249" s="70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T249" s="44"/>
    </row>
    <row r="250" spans="1:176" x14ac:dyDescent="0.2">
      <c r="A250" t="s">
        <v>194</v>
      </c>
      <c r="B250" t="s">
        <v>203</v>
      </c>
      <c r="C250" s="70">
        <v>41820</v>
      </c>
      <c r="D250">
        <v>0</v>
      </c>
      <c r="E250" s="7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T250" s="44"/>
    </row>
    <row r="251" spans="1:176" x14ac:dyDescent="0.2">
      <c r="A251" t="s">
        <v>194</v>
      </c>
      <c r="B251" t="s">
        <v>203</v>
      </c>
      <c r="C251" s="70">
        <v>41827</v>
      </c>
      <c r="D251">
        <v>0</v>
      </c>
      <c r="E251" s="70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T251" s="44"/>
    </row>
    <row r="252" spans="1:176" x14ac:dyDescent="0.2">
      <c r="A252" t="s">
        <v>194</v>
      </c>
      <c r="B252" t="s">
        <v>203</v>
      </c>
      <c r="C252" s="70">
        <v>41834</v>
      </c>
      <c r="D252">
        <v>0</v>
      </c>
      <c r="E252" s="70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T252" s="44"/>
    </row>
    <row r="253" spans="1:176" x14ac:dyDescent="0.2">
      <c r="A253" t="s">
        <v>194</v>
      </c>
      <c r="B253" t="s">
        <v>203</v>
      </c>
      <c r="C253" s="70">
        <v>41848</v>
      </c>
      <c r="D253">
        <v>0</v>
      </c>
      <c r="E253" s="70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T253" s="44"/>
    </row>
    <row r="254" spans="1:176" x14ac:dyDescent="0.2">
      <c r="A254" t="s">
        <v>194</v>
      </c>
      <c r="B254" t="s">
        <v>203</v>
      </c>
      <c r="C254" s="70">
        <v>41849</v>
      </c>
      <c r="D254">
        <v>0</v>
      </c>
      <c r="E254" s="70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T254" s="44"/>
    </row>
    <row r="255" spans="1:176" x14ac:dyDescent="0.2">
      <c r="A255" t="s">
        <v>194</v>
      </c>
      <c r="B255" t="s">
        <v>203</v>
      </c>
      <c r="C255" s="70">
        <v>41850</v>
      </c>
      <c r="D255">
        <v>0</v>
      </c>
      <c r="E255" s="70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T255" s="44"/>
    </row>
    <row r="256" spans="1:176" x14ac:dyDescent="0.2">
      <c r="A256" t="s">
        <v>194</v>
      </c>
      <c r="B256" t="s">
        <v>203</v>
      </c>
      <c r="C256" s="70">
        <v>41851</v>
      </c>
      <c r="D256">
        <v>0</v>
      </c>
      <c r="E256" s="70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T256" s="44"/>
    </row>
    <row r="257" spans="1:176" x14ac:dyDescent="0.2">
      <c r="A257" t="s">
        <v>194</v>
      </c>
      <c r="B257" t="s">
        <v>203</v>
      </c>
      <c r="C257" s="70">
        <v>41852</v>
      </c>
      <c r="D257">
        <v>0</v>
      </c>
      <c r="E257" s="70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T257" s="44"/>
    </row>
    <row r="258" spans="1:176" x14ac:dyDescent="0.2">
      <c r="A258" t="s">
        <v>194</v>
      </c>
      <c r="B258" t="s">
        <v>203</v>
      </c>
      <c r="C258" s="70">
        <v>41894</v>
      </c>
      <c r="D258">
        <v>0</v>
      </c>
      <c r="E258" s="70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T258" s="44"/>
    </row>
    <row r="259" spans="1:176" x14ac:dyDescent="0.2">
      <c r="A259" t="s">
        <v>194</v>
      </c>
      <c r="B259" t="s">
        <v>203</v>
      </c>
      <c r="C259" s="70">
        <v>41897</v>
      </c>
      <c r="D259">
        <v>0</v>
      </c>
      <c r="E259" s="70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T259" s="44"/>
    </row>
    <row r="260" spans="1:176" x14ac:dyDescent="0.2">
      <c r="A260" t="s">
        <v>194</v>
      </c>
      <c r="B260" t="s">
        <v>203</v>
      </c>
      <c r="C260" s="70">
        <v>41898</v>
      </c>
      <c r="D260">
        <v>0</v>
      </c>
      <c r="E260" s="7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T260" s="44"/>
    </row>
    <row r="261" spans="1:176" x14ac:dyDescent="0.2">
      <c r="A261" t="s">
        <v>194</v>
      </c>
      <c r="B261" t="s">
        <v>203</v>
      </c>
      <c r="C261" s="70" t="s">
        <v>2</v>
      </c>
      <c r="D261">
        <v>0</v>
      </c>
      <c r="E261" s="70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T261" s="44"/>
    </row>
    <row r="262" spans="1:176" x14ac:dyDescent="0.2">
      <c r="A262" t="s">
        <v>195</v>
      </c>
      <c r="B262" t="s">
        <v>202</v>
      </c>
      <c r="C262" s="70">
        <v>41773</v>
      </c>
      <c r="D262">
        <v>0</v>
      </c>
      <c r="E262" s="70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T262" s="44"/>
    </row>
    <row r="263" spans="1:176" x14ac:dyDescent="0.2">
      <c r="A263" t="s">
        <v>195</v>
      </c>
      <c r="B263" t="s">
        <v>202</v>
      </c>
      <c r="C263" s="70">
        <v>41820</v>
      </c>
      <c r="D263">
        <v>0</v>
      </c>
      <c r="E263" s="70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T263" s="44"/>
    </row>
    <row r="264" spans="1:176" x14ac:dyDescent="0.2">
      <c r="A264" t="s">
        <v>195</v>
      </c>
      <c r="B264" t="s">
        <v>202</v>
      </c>
      <c r="C264" s="70">
        <v>41827</v>
      </c>
      <c r="D264">
        <v>0</v>
      </c>
      <c r="E264" s="70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T264" s="44"/>
    </row>
    <row r="265" spans="1:176" x14ac:dyDescent="0.2">
      <c r="A265" t="s">
        <v>195</v>
      </c>
      <c r="B265" t="s">
        <v>202</v>
      </c>
      <c r="C265" s="70">
        <v>41834</v>
      </c>
      <c r="D265">
        <v>0</v>
      </c>
      <c r="E265" s="70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T265" s="44"/>
    </row>
    <row r="266" spans="1:176" x14ac:dyDescent="0.2">
      <c r="A266" t="s">
        <v>195</v>
      </c>
      <c r="B266" t="s">
        <v>202</v>
      </c>
      <c r="C266" s="70">
        <v>41848</v>
      </c>
      <c r="D266">
        <v>0</v>
      </c>
      <c r="E266" s="70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T266" s="44"/>
    </row>
    <row r="267" spans="1:176" x14ac:dyDescent="0.2">
      <c r="A267" t="s">
        <v>195</v>
      </c>
      <c r="B267" t="s">
        <v>202</v>
      </c>
      <c r="C267" s="70">
        <v>41849</v>
      </c>
      <c r="D267">
        <v>0</v>
      </c>
      <c r="E267" s="70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T267" s="44"/>
    </row>
    <row r="268" spans="1:176" x14ac:dyDescent="0.2">
      <c r="A268" t="s">
        <v>195</v>
      </c>
      <c r="B268" t="s">
        <v>202</v>
      </c>
      <c r="C268" s="70">
        <v>41850</v>
      </c>
      <c r="D268">
        <v>0</v>
      </c>
      <c r="E268" s="70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T268" s="44"/>
    </row>
    <row r="269" spans="1:176" x14ac:dyDescent="0.2">
      <c r="A269" t="s">
        <v>195</v>
      </c>
      <c r="B269" t="s">
        <v>202</v>
      </c>
      <c r="C269" s="70">
        <v>41851</v>
      </c>
      <c r="D269">
        <v>0</v>
      </c>
      <c r="E269" s="70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T269" s="44"/>
    </row>
    <row r="270" spans="1:176" x14ac:dyDescent="0.2">
      <c r="A270" t="s">
        <v>195</v>
      </c>
      <c r="B270" t="s">
        <v>202</v>
      </c>
      <c r="C270" s="70">
        <v>41852</v>
      </c>
      <c r="D270">
        <v>0</v>
      </c>
      <c r="E270" s="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T270" s="44"/>
    </row>
    <row r="271" spans="1:176" x14ac:dyDescent="0.2">
      <c r="A271" t="s">
        <v>195</v>
      </c>
      <c r="B271" t="s">
        <v>202</v>
      </c>
      <c r="C271" s="70">
        <v>41894</v>
      </c>
      <c r="D271">
        <v>0</v>
      </c>
      <c r="E271" s="70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T271" s="44"/>
    </row>
    <row r="272" spans="1:176" x14ac:dyDescent="0.2">
      <c r="A272" t="s">
        <v>195</v>
      </c>
      <c r="B272" t="s">
        <v>202</v>
      </c>
      <c r="C272" s="70">
        <v>41897</v>
      </c>
      <c r="D272">
        <v>0</v>
      </c>
      <c r="E272" s="70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T272" s="44"/>
    </row>
    <row r="273" spans="1:176" x14ac:dyDescent="0.2">
      <c r="A273" t="s">
        <v>195</v>
      </c>
      <c r="B273" t="s">
        <v>202</v>
      </c>
      <c r="C273" s="70">
        <v>41898</v>
      </c>
      <c r="D273">
        <v>0</v>
      </c>
      <c r="E273" s="70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T273" s="44"/>
    </row>
    <row r="274" spans="1:176" x14ac:dyDescent="0.2">
      <c r="A274" t="s">
        <v>195</v>
      </c>
      <c r="B274" t="s">
        <v>202</v>
      </c>
      <c r="C274" s="70" t="s">
        <v>2</v>
      </c>
      <c r="D274">
        <v>0</v>
      </c>
      <c r="E274" s="70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T274" s="44"/>
    </row>
    <row r="275" spans="1:176" x14ac:dyDescent="0.2">
      <c r="A275" t="s">
        <v>195</v>
      </c>
      <c r="B275" t="s">
        <v>204</v>
      </c>
      <c r="C275" s="70">
        <v>41773</v>
      </c>
      <c r="D275">
        <v>0</v>
      </c>
      <c r="E275" s="70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T275" s="44"/>
    </row>
    <row r="276" spans="1:176" x14ac:dyDescent="0.2">
      <c r="A276" t="s">
        <v>195</v>
      </c>
      <c r="B276" t="s">
        <v>204</v>
      </c>
      <c r="C276" s="70">
        <v>41820</v>
      </c>
      <c r="D276">
        <v>0</v>
      </c>
      <c r="E276" s="70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T276" s="44"/>
    </row>
    <row r="277" spans="1:176" x14ac:dyDescent="0.2">
      <c r="A277" t="s">
        <v>195</v>
      </c>
      <c r="B277" t="s">
        <v>204</v>
      </c>
      <c r="C277" s="70">
        <v>41827</v>
      </c>
      <c r="D277">
        <v>0</v>
      </c>
      <c r="E277" s="70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T277" s="44"/>
    </row>
    <row r="278" spans="1:176" x14ac:dyDescent="0.2">
      <c r="A278" t="s">
        <v>195</v>
      </c>
      <c r="B278" t="s">
        <v>204</v>
      </c>
      <c r="C278" s="70">
        <v>41834</v>
      </c>
      <c r="D278">
        <v>0</v>
      </c>
      <c r="E278" s="70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T278" s="44"/>
    </row>
    <row r="279" spans="1:176" x14ac:dyDescent="0.2">
      <c r="A279" t="s">
        <v>195</v>
      </c>
      <c r="B279" t="s">
        <v>204</v>
      </c>
      <c r="C279" s="70">
        <v>41848</v>
      </c>
      <c r="D279">
        <v>0</v>
      </c>
      <c r="E279" s="70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T279" s="44"/>
    </row>
    <row r="280" spans="1:176" x14ac:dyDescent="0.2">
      <c r="A280" t="s">
        <v>195</v>
      </c>
      <c r="B280" t="s">
        <v>204</v>
      </c>
      <c r="C280" s="70">
        <v>41849</v>
      </c>
      <c r="D280">
        <v>0</v>
      </c>
      <c r="E280" s="7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T280" s="44"/>
    </row>
    <row r="281" spans="1:176" x14ac:dyDescent="0.2">
      <c r="A281" t="s">
        <v>195</v>
      </c>
      <c r="B281" t="s">
        <v>204</v>
      </c>
      <c r="C281" s="70">
        <v>41850</v>
      </c>
      <c r="D281">
        <v>0</v>
      </c>
      <c r="E281" s="70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T281" s="44"/>
    </row>
    <row r="282" spans="1:176" x14ac:dyDescent="0.2">
      <c r="A282" t="s">
        <v>195</v>
      </c>
      <c r="B282" t="s">
        <v>204</v>
      </c>
      <c r="C282" s="70">
        <v>41851</v>
      </c>
      <c r="D282">
        <v>0</v>
      </c>
      <c r="E282" s="70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T282" s="44"/>
    </row>
    <row r="283" spans="1:176" x14ac:dyDescent="0.2">
      <c r="A283" t="s">
        <v>195</v>
      </c>
      <c r="B283" t="s">
        <v>204</v>
      </c>
      <c r="C283" s="70">
        <v>41852</v>
      </c>
      <c r="D283">
        <v>0</v>
      </c>
      <c r="E283" s="70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T283" s="44"/>
    </row>
    <row r="284" spans="1:176" x14ac:dyDescent="0.2">
      <c r="A284" t="s">
        <v>195</v>
      </c>
      <c r="B284" t="s">
        <v>204</v>
      </c>
      <c r="C284" s="70">
        <v>41894</v>
      </c>
      <c r="D284">
        <v>0</v>
      </c>
      <c r="E284" s="70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T284" s="44"/>
    </row>
    <row r="285" spans="1:176" x14ac:dyDescent="0.2">
      <c r="A285" t="s">
        <v>195</v>
      </c>
      <c r="B285" t="s">
        <v>204</v>
      </c>
      <c r="C285" s="70">
        <v>41897</v>
      </c>
      <c r="D285">
        <v>0</v>
      </c>
      <c r="E285" s="70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T285" s="44"/>
    </row>
    <row r="286" spans="1:176" x14ac:dyDescent="0.2">
      <c r="A286" t="s">
        <v>195</v>
      </c>
      <c r="B286" t="s">
        <v>204</v>
      </c>
      <c r="C286" s="70">
        <v>41898</v>
      </c>
      <c r="D286">
        <v>0</v>
      </c>
      <c r="E286" s="70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T286" s="44"/>
    </row>
    <row r="287" spans="1:176" x14ac:dyDescent="0.2">
      <c r="A287" t="s">
        <v>195</v>
      </c>
      <c r="B287" t="s">
        <v>204</v>
      </c>
      <c r="C287" s="70" t="s">
        <v>2</v>
      </c>
      <c r="D287">
        <v>0</v>
      </c>
      <c r="E287" s="70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T287" s="44"/>
    </row>
    <row r="288" spans="1:176" x14ac:dyDescent="0.2">
      <c r="A288" t="s">
        <v>195</v>
      </c>
      <c r="B288" t="s">
        <v>1</v>
      </c>
      <c r="C288" s="70">
        <v>41773</v>
      </c>
      <c r="D288">
        <v>0</v>
      </c>
      <c r="E288" s="70">
        <v>50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T288" s="44"/>
    </row>
    <row r="289" spans="1:176" x14ac:dyDescent="0.2">
      <c r="A289" t="s">
        <v>195</v>
      </c>
      <c r="B289" t="s">
        <v>1</v>
      </c>
      <c r="C289" s="70">
        <v>41820</v>
      </c>
      <c r="D289">
        <v>0</v>
      </c>
      <c r="E289" s="70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T289" s="44"/>
    </row>
    <row r="290" spans="1:176" x14ac:dyDescent="0.2">
      <c r="A290" t="s">
        <v>195</v>
      </c>
      <c r="B290" t="s">
        <v>1</v>
      </c>
      <c r="C290" s="70">
        <v>41827</v>
      </c>
      <c r="D290">
        <v>0</v>
      </c>
      <c r="E290" s="7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T290" s="44"/>
    </row>
    <row r="291" spans="1:176" x14ac:dyDescent="0.2">
      <c r="A291" t="s">
        <v>195</v>
      </c>
      <c r="B291" t="s">
        <v>1</v>
      </c>
      <c r="C291" s="70">
        <v>41834</v>
      </c>
      <c r="D291">
        <v>0</v>
      </c>
      <c r="E291" s="70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T291" s="44"/>
    </row>
    <row r="292" spans="1:176" x14ac:dyDescent="0.2">
      <c r="A292" t="s">
        <v>195</v>
      </c>
      <c r="B292" t="s">
        <v>1</v>
      </c>
      <c r="C292" s="70">
        <v>41848</v>
      </c>
      <c r="D292">
        <v>1</v>
      </c>
      <c r="E292" s="70">
        <v>49</v>
      </c>
      <c r="F292">
        <v>10.87499</v>
      </c>
      <c r="G292">
        <v>10.82926</v>
      </c>
      <c r="H292">
        <v>11.15441</v>
      </c>
      <c r="I292">
        <v>11.619109999999999</v>
      </c>
      <c r="J292">
        <v>11.792310000000001</v>
      </c>
      <c r="K292">
        <v>13.225630000000001</v>
      </c>
      <c r="L292">
        <v>15.08676</v>
      </c>
      <c r="M292">
        <v>17.797910000000002</v>
      </c>
      <c r="N292">
        <v>19.313680000000002</v>
      </c>
      <c r="O292">
        <v>19.572050000000001</v>
      </c>
      <c r="P292">
        <v>19.581389999999999</v>
      </c>
      <c r="Q292">
        <v>19.53856</v>
      </c>
      <c r="R292">
        <v>18.628340000000001</v>
      </c>
      <c r="S292">
        <v>19.44406</v>
      </c>
      <c r="T292">
        <v>19.31297</v>
      </c>
      <c r="U292">
        <v>16.181450000000002</v>
      </c>
      <c r="V292">
        <v>15.317259999999999</v>
      </c>
      <c r="W292">
        <v>14.550990000000001</v>
      </c>
      <c r="X292">
        <v>13.838710000000001</v>
      </c>
      <c r="Y292">
        <v>14.08113</v>
      </c>
      <c r="Z292">
        <v>13.97728</v>
      </c>
      <c r="AA292">
        <v>13.75699</v>
      </c>
      <c r="AB292">
        <v>13.14204</v>
      </c>
      <c r="AC292">
        <v>12.40269</v>
      </c>
      <c r="AD292">
        <v>9.9913399999999999E-2</v>
      </c>
      <c r="AE292">
        <v>0.1018102</v>
      </c>
      <c r="AF292">
        <v>0.1123099</v>
      </c>
      <c r="AG292">
        <v>0.113992</v>
      </c>
      <c r="AH292">
        <v>0.1007721</v>
      </c>
      <c r="AI292">
        <v>9.09972E-2</v>
      </c>
      <c r="AJ292">
        <v>5.2707700000000003E-2</v>
      </c>
      <c r="AK292">
        <v>2.1561799999999999E-2</v>
      </c>
      <c r="AL292">
        <v>-0.12411030000000001</v>
      </c>
      <c r="AM292">
        <v>-0.28840120000000002</v>
      </c>
      <c r="AN292">
        <v>-0.25083040000000001</v>
      </c>
      <c r="AO292">
        <v>-0.18554300000000001</v>
      </c>
      <c r="AP292">
        <v>1.5475890000000001</v>
      </c>
      <c r="AQ292">
        <v>1.5806659999999999</v>
      </c>
      <c r="AR292">
        <v>1.617586</v>
      </c>
      <c r="AS292">
        <v>1.539819</v>
      </c>
      <c r="AT292">
        <v>1.531587</v>
      </c>
      <c r="AU292">
        <v>1.4365060000000001</v>
      </c>
      <c r="AV292">
        <v>1.4240109999999999</v>
      </c>
      <c r="AW292">
        <v>1.4052480000000001</v>
      </c>
      <c r="AX292">
        <v>0.79598340000000001</v>
      </c>
      <c r="AY292">
        <v>-0.31175589999999997</v>
      </c>
      <c r="AZ292">
        <v>-0.3031954</v>
      </c>
      <c r="BA292">
        <v>-0.3740542</v>
      </c>
      <c r="BB292">
        <v>0.12882750000000001</v>
      </c>
      <c r="BC292">
        <v>0.13048879999999999</v>
      </c>
      <c r="BD292">
        <v>0.1399572</v>
      </c>
      <c r="BE292">
        <v>0.1418024</v>
      </c>
      <c r="BF292">
        <v>0.12759090000000001</v>
      </c>
      <c r="BG292">
        <v>0.1191053</v>
      </c>
      <c r="BH292">
        <v>8.1423999999999996E-2</v>
      </c>
      <c r="BI292">
        <v>5.56503E-2</v>
      </c>
      <c r="BJ292">
        <v>-6.9468500000000002E-2</v>
      </c>
      <c r="BK292">
        <v>-0.22066479999999999</v>
      </c>
      <c r="BL292">
        <v>-0.18190319999999999</v>
      </c>
      <c r="BM292">
        <v>-9.6617900000000007E-2</v>
      </c>
      <c r="BN292">
        <v>1.634355</v>
      </c>
      <c r="BO292">
        <v>1.6602600000000001</v>
      </c>
      <c r="BP292">
        <v>1.689713</v>
      </c>
      <c r="BQ292">
        <v>1.617888</v>
      </c>
      <c r="BR292">
        <v>1.6122099999999999</v>
      </c>
      <c r="BS292">
        <v>1.536591</v>
      </c>
      <c r="BT292">
        <v>1.522046</v>
      </c>
      <c r="BU292">
        <v>1.5017149999999999</v>
      </c>
      <c r="BV292">
        <v>0.90652129999999997</v>
      </c>
      <c r="BW292">
        <v>-0.19850780000000001</v>
      </c>
      <c r="BX292">
        <v>-0.2243568</v>
      </c>
      <c r="BY292">
        <v>-0.27658509999999997</v>
      </c>
      <c r="BZ292">
        <v>0.14885319999999999</v>
      </c>
      <c r="CA292">
        <v>0.1503516</v>
      </c>
      <c r="CB292">
        <v>0.15910560000000001</v>
      </c>
      <c r="CC292">
        <v>0.1610637</v>
      </c>
      <c r="CD292">
        <v>0.1461655</v>
      </c>
      <c r="CE292">
        <v>0.1385728</v>
      </c>
      <c r="CF292">
        <v>0.10131279999999999</v>
      </c>
      <c r="CG292">
        <v>7.9259899999999994E-2</v>
      </c>
      <c r="CH292">
        <v>-3.1623699999999998E-2</v>
      </c>
      <c r="CI292">
        <v>-0.17375080000000001</v>
      </c>
      <c r="CJ292">
        <v>-0.13416439999999999</v>
      </c>
      <c r="CK292">
        <v>-3.50286E-2</v>
      </c>
      <c r="CL292">
        <v>1.6944490000000001</v>
      </c>
      <c r="CM292">
        <v>1.715387</v>
      </c>
      <c r="CN292">
        <v>1.7396670000000001</v>
      </c>
      <c r="CO292">
        <v>1.671959</v>
      </c>
      <c r="CP292">
        <v>1.6680489999999999</v>
      </c>
      <c r="CQ292">
        <v>1.605909</v>
      </c>
      <c r="CR292">
        <v>1.5899449999999999</v>
      </c>
      <c r="CS292">
        <v>1.5685279999999999</v>
      </c>
      <c r="CT292">
        <v>0.98307960000000005</v>
      </c>
      <c r="CU292">
        <v>-0.1200726</v>
      </c>
      <c r="CV292">
        <v>-0.1697535</v>
      </c>
      <c r="CW292">
        <v>-0.20907829999999999</v>
      </c>
      <c r="CX292">
        <v>0.168879</v>
      </c>
      <c r="CY292">
        <v>0.17021430000000001</v>
      </c>
      <c r="CZ292">
        <v>0.178254</v>
      </c>
      <c r="DA292">
        <v>0.18032509999999999</v>
      </c>
      <c r="DB292">
        <v>0.1647402</v>
      </c>
      <c r="DC292">
        <v>0.1580404</v>
      </c>
      <c r="DD292">
        <v>0.12120160000000001</v>
      </c>
      <c r="DE292">
        <v>0.1028695</v>
      </c>
      <c r="DF292">
        <v>6.221E-3</v>
      </c>
      <c r="DG292">
        <v>-0.1268368</v>
      </c>
      <c r="DH292">
        <v>-8.6425600000000005E-2</v>
      </c>
      <c r="DI292">
        <v>2.65607E-2</v>
      </c>
      <c r="DJ292">
        <v>1.7545440000000001</v>
      </c>
      <c r="DK292">
        <v>1.7705139999999999</v>
      </c>
      <c r="DL292">
        <v>1.7896209999999999</v>
      </c>
      <c r="DM292">
        <v>1.72603</v>
      </c>
      <c r="DN292">
        <v>1.7238880000000001</v>
      </c>
      <c r="DO292">
        <v>1.6752279999999999</v>
      </c>
      <c r="DP292">
        <v>1.6578440000000001</v>
      </c>
      <c r="DQ292">
        <v>1.6353409999999999</v>
      </c>
      <c r="DR292">
        <v>1.0596380000000001</v>
      </c>
      <c r="DS292">
        <v>-4.1637399999999998E-2</v>
      </c>
      <c r="DT292">
        <v>-0.11515010000000001</v>
      </c>
      <c r="DU292">
        <v>-0.14157149999999999</v>
      </c>
      <c r="DV292">
        <v>0.1977931</v>
      </c>
      <c r="DW292">
        <v>0.19889299999999999</v>
      </c>
      <c r="DX292">
        <v>0.20590120000000001</v>
      </c>
      <c r="DY292">
        <v>0.2081355</v>
      </c>
      <c r="DZ292">
        <v>0.19155900000000001</v>
      </c>
      <c r="EA292">
        <v>0.18614849999999999</v>
      </c>
      <c r="EB292">
        <v>0.14991789999999999</v>
      </c>
      <c r="EC292">
        <v>0.13695789999999999</v>
      </c>
      <c r="ED292">
        <v>6.0862800000000002E-2</v>
      </c>
      <c r="EE292">
        <v>-5.9100399999999997E-2</v>
      </c>
      <c r="EF292">
        <v>-1.7498400000000001E-2</v>
      </c>
      <c r="EG292">
        <v>0.1154859</v>
      </c>
      <c r="EH292">
        <v>1.84131</v>
      </c>
      <c r="EI292">
        <v>1.8501080000000001</v>
      </c>
      <c r="EJ292">
        <v>1.861747</v>
      </c>
      <c r="EK292">
        <v>1.8040989999999999</v>
      </c>
      <c r="EL292">
        <v>1.804511</v>
      </c>
      <c r="EM292">
        <v>1.775312</v>
      </c>
      <c r="EN292">
        <v>1.755879</v>
      </c>
      <c r="EO292">
        <v>1.731808</v>
      </c>
      <c r="EP292">
        <v>1.1701760000000001</v>
      </c>
      <c r="EQ292">
        <v>7.1610699999999999E-2</v>
      </c>
      <c r="ER292">
        <v>-3.6311599999999999E-2</v>
      </c>
      <c r="ES292">
        <v>-4.41024E-2</v>
      </c>
      <c r="ET292">
        <v>61.406840000000003</v>
      </c>
      <c r="EU292">
        <v>59.309959999999997</v>
      </c>
      <c r="EV292">
        <v>58.407060000000001</v>
      </c>
      <c r="EW292">
        <v>57</v>
      </c>
      <c r="EX292">
        <v>56.193930000000002</v>
      </c>
      <c r="EY292">
        <v>55.473410000000001</v>
      </c>
      <c r="EZ292">
        <v>55.901919999999997</v>
      </c>
      <c r="FA292">
        <v>58.144460000000002</v>
      </c>
      <c r="FB292">
        <v>61.20796</v>
      </c>
      <c r="FC292">
        <v>64.494450000000001</v>
      </c>
      <c r="FD292">
        <v>68.792320000000004</v>
      </c>
      <c r="FE292">
        <v>73.776079999999993</v>
      </c>
      <c r="FF292">
        <v>77.736419999999995</v>
      </c>
      <c r="FG292">
        <v>81.966859999999997</v>
      </c>
      <c r="FH292">
        <v>82.145650000000003</v>
      </c>
      <c r="FI292">
        <v>84.940560000000005</v>
      </c>
      <c r="FJ292">
        <v>85.886060000000001</v>
      </c>
      <c r="FK292">
        <v>84.182299999999998</v>
      </c>
      <c r="FL292">
        <v>81.783270000000002</v>
      </c>
      <c r="FM292">
        <v>74.309299999999993</v>
      </c>
      <c r="FN292">
        <v>69.110320000000002</v>
      </c>
      <c r="FO292">
        <v>66.237610000000004</v>
      </c>
      <c r="FP292">
        <v>64.074160000000006</v>
      </c>
      <c r="FQ292">
        <v>61.64631</v>
      </c>
      <c r="FR292">
        <v>1</v>
      </c>
      <c r="FT292" s="44"/>
    </row>
    <row r="293" spans="1:176" x14ac:dyDescent="0.2">
      <c r="A293" t="s">
        <v>195</v>
      </c>
      <c r="B293" t="s">
        <v>1</v>
      </c>
      <c r="C293" s="70">
        <v>41849</v>
      </c>
      <c r="D293">
        <v>3</v>
      </c>
      <c r="E293" s="70">
        <v>49</v>
      </c>
      <c r="F293">
        <v>12.282080000000001</v>
      </c>
      <c r="G293">
        <v>11.94524</v>
      </c>
      <c r="H293">
        <v>11.770799999999999</v>
      </c>
      <c r="I293">
        <v>11.99282</v>
      </c>
      <c r="J293">
        <v>12.165979999999999</v>
      </c>
      <c r="K293">
        <v>13.83587</v>
      </c>
      <c r="L293">
        <v>15.62125</v>
      </c>
      <c r="M293">
        <v>15.890269999999999</v>
      </c>
      <c r="N293">
        <v>16.847149999999999</v>
      </c>
      <c r="O293">
        <v>17.81175</v>
      </c>
      <c r="P293">
        <v>18.295780000000001</v>
      </c>
      <c r="Q293">
        <v>18.463640000000002</v>
      </c>
      <c r="R293">
        <v>17.907330000000002</v>
      </c>
      <c r="S293">
        <v>18.367509999999999</v>
      </c>
      <c r="T293">
        <v>18.250489999999999</v>
      </c>
      <c r="U293">
        <v>16.900289999999998</v>
      </c>
      <c r="V293">
        <v>15.67409</v>
      </c>
      <c r="W293">
        <v>14.88499</v>
      </c>
      <c r="X293">
        <v>13.99506</v>
      </c>
      <c r="Y293">
        <v>14.37312</v>
      </c>
      <c r="Z293">
        <v>14.204029999999999</v>
      </c>
      <c r="AA293">
        <v>13.725949999999999</v>
      </c>
      <c r="AB293">
        <v>13.00276</v>
      </c>
      <c r="AC293">
        <v>12.47936</v>
      </c>
      <c r="AD293">
        <v>-2.78763E-2</v>
      </c>
      <c r="AE293">
        <v>-5.5337499999999998E-2</v>
      </c>
      <c r="AF293">
        <v>-9.9885100000000004E-2</v>
      </c>
      <c r="AG293">
        <v>-8.0882300000000004E-2</v>
      </c>
      <c r="AH293">
        <v>-0.10014960000000001</v>
      </c>
      <c r="AI293">
        <v>-0.17520640000000001</v>
      </c>
      <c r="AJ293">
        <v>-0.14377719999999999</v>
      </c>
      <c r="AK293">
        <v>-0.1447389</v>
      </c>
      <c r="AL293">
        <v>-0.12182270000000001</v>
      </c>
      <c r="AM293">
        <v>-7.6769000000000004E-2</v>
      </c>
      <c r="AN293">
        <v>-4.8332E-2</v>
      </c>
      <c r="AO293">
        <v>0.51083009999999995</v>
      </c>
      <c r="AP293">
        <v>1.9512529999999999</v>
      </c>
      <c r="AQ293">
        <v>1.929378</v>
      </c>
      <c r="AR293">
        <v>1.928353</v>
      </c>
      <c r="AS293">
        <v>1.997452</v>
      </c>
      <c r="AT293">
        <v>1.963506</v>
      </c>
      <c r="AU293">
        <v>1.911977</v>
      </c>
      <c r="AV293">
        <v>1.835502</v>
      </c>
      <c r="AW293">
        <v>1.780386</v>
      </c>
      <c r="AX293">
        <v>1.4363410000000001</v>
      </c>
      <c r="AY293">
        <v>0.70479259999999999</v>
      </c>
      <c r="AZ293">
        <v>0.83150109999999999</v>
      </c>
      <c r="BA293">
        <v>-0.1086032</v>
      </c>
      <c r="BB293">
        <v>5.9650000000000002E-4</v>
      </c>
      <c r="BC293">
        <v>-2.6048200000000001E-2</v>
      </c>
      <c r="BD293">
        <v>-7.0381299999999994E-2</v>
      </c>
      <c r="BE293">
        <v>-5.2861999999999999E-2</v>
      </c>
      <c r="BF293">
        <v>-7.3196499999999998E-2</v>
      </c>
      <c r="BG293">
        <v>-0.14383850000000001</v>
      </c>
      <c r="BH293">
        <v>-0.1140685</v>
      </c>
      <c r="BI293">
        <v>-0.1118755</v>
      </c>
      <c r="BJ293">
        <v>-8.6306900000000006E-2</v>
      </c>
      <c r="BK293">
        <v>-2.9091599999999999E-2</v>
      </c>
      <c r="BL293">
        <v>3.2370000000000001E-4</v>
      </c>
      <c r="BM293">
        <v>0.55984310000000004</v>
      </c>
      <c r="BN293">
        <v>1.9980830000000001</v>
      </c>
      <c r="BO293">
        <v>1.9931179999999999</v>
      </c>
      <c r="BP293">
        <v>1.9920659999999999</v>
      </c>
      <c r="BQ293">
        <v>2.0549559999999998</v>
      </c>
      <c r="BR293">
        <v>2.0242260000000001</v>
      </c>
      <c r="BS293">
        <v>1.9848250000000001</v>
      </c>
      <c r="BT293">
        <v>1.911505</v>
      </c>
      <c r="BU293">
        <v>1.8744700000000001</v>
      </c>
      <c r="BV293">
        <v>1.5734669999999999</v>
      </c>
      <c r="BW293">
        <v>0.84896170000000004</v>
      </c>
      <c r="BX293">
        <v>0.90504090000000004</v>
      </c>
      <c r="BY293">
        <v>-2.1926000000000001E-2</v>
      </c>
      <c r="BZ293">
        <v>2.03167E-2</v>
      </c>
      <c r="CA293">
        <v>-5.7625000000000003E-3</v>
      </c>
      <c r="CB293">
        <v>-4.9946999999999998E-2</v>
      </c>
      <c r="CC293">
        <v>-3.3455199999999997E-2</v>
      </c>
      <c r="CD293">
        <v>-5.4528800000000002E-2</v>
      </c>
      <c r="CE293">
        <v>-0.1221131</v>
      </c>
      <c r="CF293">
        <v>-9.3492199999999998E-2</v>
      </c>
      <c r="CG293">
        <v>-8.9114299999999994E-2</v>
      </c>
      <c r="CH293">
        <v>-6.1708699999999998E-2</v>
      </c>
      <c r="CI293">
        <v>3.9296000000000001E-3</v>
      </c>
      <c r="CJ293">
        <v>3.4022499999999997E-2</v>
      </c>
      <c r="CK293">
        <v>0.59378940000000002</v>
      </c>
      <c r="CL293">
        <v>2.0305170000000001</v>
      </c>
      <c r="CM293">
        <v>2.037264</v>
      </c>
      <c r="CN293">
        <v>2.0361929999999999</v>
      </c>
      <c r="CO293">
        <v>2.0947830000000001</v>
      </c>
      <c r="CP293">
        <v>2.0662799999999999</v>
      </c>
      <c r="CQ293">
        <v>2.0352790000000001</v>
      </c>
      <c r="CR293">
        <v>1.964145</v>
      </c>
      <c r="CS293">
        <v>1.939632</v>
      </c>
      <c r="CT293">
        <v>1.6684410000000001</v>
      </c>
      <c r="CU293">
        <v>0.94881269999999995</v>
      </c>
      <c r="CV293">
        <v>0.9559744</v>
      </c>
      <c r="CW293">
        <v>3.8106300000000003E-2</v>
      </c>
      <c r="CX293">
        <v>4.00369E-2</v>
      </c>
      <c r="CY293">
        <v>1.45232E-2</v>
      </c>
      <c r="CZ293">
        <v>-2.9512799999999999E-2</v>
      </c>
      <c r="DA293">
        <v>-1.4048400000000001E-2</v>
      </c>
      <c r="DB293">
        <v>-3.58611E-2</v>
      </c>
      <c r="DC293">
        <v>-0.1003878</v>
      </c>
      <c r="DD293">
        <v>-7.2915999999999995E-2</v>
      </c>
      <c r="DE293">
        <v>-6.6353200000000001E-2</v>
      </c>
      <c r="DF293">
        <v>-3.7110600000000001E-2</v>
      </c>
      <c r="DG293">
        <v>3.6950799999999999E-2</v>
      </c>
      <c r="DH293">
        <v>6.7721299999999998E-2</v>
      </c>
      <c r="DI293">
        <v>0.62773570000000001</v>
      </c>
      <c r="DJ293">
        <v>2.062951</v>
      </c>
      <c r="DK293">
        <v>2.08141</v>
      </c>
      <c r="DL293">
        <v>2.0803199999999999</v>
      </c>
      <c r="DM293">
        <v>2.1346090000000002</v>
      </c>
      <c r="DN293">
        <v>2.1083340000000002</v>
      </c>
      <c r="DO293">
        <v>2.0857329999999998</v>
      </c>
      <c r="DP293">
        <v>2.0167839999999999</v>
      </c>
      <c r="DQ293">
        <v>2.004794</v>
      </c>
      <c r="DR293">
        <v>1.763414</v>
      </c>
      <c r="DS293">
        <v>1.048664</v>
      </c>
      <c r="DT293">
        <v>1.0069079999999999</v>
      </c>
      <c r="DU293">
        <v>9.8138699999999995E-2</v>
      </c>
      <c r="DV293">
        <v>6.8509799999999996E-2</v>
      </c>
      <c r="DW293">
        <v>4.3812499999999997E-2</v>
      </c>
      <c r="DX293">
        <v>-8.9500000000000007E-6</v>
      </c>
      <c r="DY293">
        <v>1.3971900000000001E-2</v>
      </c>
      <c r="DZ293">
        <v>-8.9078999999999998E-3</v>
      </c>
      <c r="EA293">
        <v>-6.9019899999999995E-2</v>
      </c>
      <c r="EB293">
        <v>-4.3207200000000001E-2</v>
      </c>
      <c r="EC293">
        <v>-3.34898E-2</v>
      </c>
      <c r="ED293">
        <v>-1.5948E-3</v>
      </c>
      <c r="EE293">
        <v>8.4628200000000001E-2</v>
      </c>
      <c r="EF293">
        <v>0.11637699999999999</v>
      </c>
      <c r="EG293">
        <v>0.67674869999999998</v>
      </c>
      <c r="EH293">
        <v>2.1097809999999999</v>
      </c>
      <c r="EI293">
        <v>2.1451500000000001</v>
      </c>
      <c r="EJ293">
        <v>2.1440329999999999</v>
      </c>
      <c r="EK293">
        <v>2.192113</v>
      </c>
      <c r="EL293">
        <v>2.1690529999999999</v>
      </c>
      <c r="EM293">
        <v>2.1585809999999999</v>
      </c>
      <c r="EN293">
        <v>2.092787</v>
      </c>
      <c r="EO293">
        <v>2.0988769999999999</v>
      </c>
      <c r="EP293">
        <v>1.9005399999999999</v>
      </c>
      <c r="EQ293">
        <v>1.192833</v>
      </c>
      <c r="ER293">
        <v>1.0804480000000001</v>
      </c>
      <c r="ES293">
        <v>0.1848158</v>
      </c>
      <c r="ET293">
        <v>60.879510000000003</v>
      </c>
      <c r="EU293">
        <v>59.868229999999997</v>
      </c>
      <c r="EV293">
        <v>59.04457</v>
      </c>
      <c r="EW293">
        <v>58.637929999999997</v>
      </c>
      <c r="EX293">
        <v>57.405610000000003</v>
      </c>
      <c r="EY293">
        <v>56.233629999999998</v>
      </c>
      <c r="EZ293">
        <v>56.263399999999997</v>
      </c>
      <c r="FA293">
        <v>58.361449999999998</v>
      </c>
      <c r="FB293">
        <v>63.107309999999998</v>
      </c>
      <c r="FC293">
        <v>68.236509999999996</v>
      </c>
      <c r="FD293">
        <v>73.203130000000002</v>
      </c>
      <c r="FE293">
        <v>77.854780000000005</v>
      </c>
      <c r="FF293">
        <v>82.585319999999996</v>
      </c>
      <c r="FG293">
        <v>86.837329999999994</v>
      </c>
      <c r="FH293">
        <v>88.164270000000002</v>
      </c>
      <c r="FI293">
        <v>90.176339999999996</v>
      </c>
      <c r="FJ293">
        <v>91.501499999999993</v>
      </c>
      <c r="FK293">
        <v>88.836489999999998</v>
      </c>
      <c r="FL293">
        <v>82.257289999999998</v>
      </c>
      <c r="FM293">
        <v>77.887119999999996</v>
      </c>
      <c r="FN293">
        <v>71.971199999999996</v>
      </c>
      <c r="FO293">
        <v>68.165949999999995</v>
      </c>
      <c r="FP293">
        <v>64.82011</v>
      </c>
      <c r="FQ293">
        <v>62.795340000000003</v>
      </c>
      <c r="FR293">
        <v>1</v>
      </c>
      <c r="FT293" s="44"/>
    </row>
    <row r="294" spans="1:176" x14ac:dyDescent="0.2">
      <c r="A294" t="s">
        <v>195</v>
      </c>
      <c r="B294" t="s">
        <v>1</v>
      </c>
      <c r="C294" s="70">
        <v>41850</v>
      </c>
      <c r="D294">
        <v>2</v>
      </c>
      <c r="E294" s="70">
        <v>49</v>
      </c>
      <c r="F294">
        <v>12.37823</v>
      </c>
      <c r="G294">
        <v>12.03575</v>
      </c>
      <c r="H294">
        <v>11.824730000000001</v>
      </c>
      <c r="I294">
        <v>12.12074</v>
      </c>
      <c r="J294">
        <v>12.4727</v>
      </c>
      <c r="K294">
        <v>14.05114</v>
      </c>
      <c r="L294">
        <v>16.223759999999999</v>
      </c>
      <c r="M294">
        <v>17.849350000000001</v>
      </c>
      <c r="N294">
        <v>19.143540000000002</v>
      </c>
      <c r="O294">
        <v>19.436350000000001</v>
      </c>
      <c r="P294">
        <v>19.389959999999999</v>
      </c>
      <c r="Q294">
        <v>19.2364</v>
      </c>
      <c r="R294">
        <v>19.21482</v>
      </c>
      <c r="S294">
        <v>19.326519999999999</v>
      </c>
      <c r="T294">
        <v>19.100650000000002</v>
      </c>
      <c r="U294">
        <v>17.86084</v>
      </c>
      <c r="V294">
        <v>17.08727</v>
      </c>
      <c r="W294">
        <v>15.958220000000001</v>
      </c>
      <c r="X294">
        <v>14.593920000000001</v>
      </c>
      <c r="Y294">
        <v>14.12645</v>
      </c>
      <c r="Z294">
        <v>14.03762</v>
      </c>
      <c r="AA294">
        <v>13.71482</v>
      </c>
      <c r="AB294">
        <v>13.039870000000001</v>
      </c>
      <c r="AC294">
        <v>12.14917</v>
      </c>
      <c r="AD294">
        <v>0.13179440000000001</v>
      </c>
      <c r="AE294">
        <v>0.12753349999999999</v>
      </c>
      <c r="AF294">
        <v>0.1204059</v>
      </c>
      <c r="AG294">
        <v>0.12970590000000001</v>
      </c>
      <c r="AH294">
        <v>0.13790269999999999</v>
      </c>
      <c r="AI294">
        <v>0.12858069999999999</v>
      </c>
      <c r="AJ294">
        <v>5.1423700000000003E-2</v>
      </c>
      <c r="AK294">
        <v>-3.7709699999999999E-2</v>
      </c>
      <c r="AL294">
        <v>-2.6383500000000001E-2</v>
      </c>
      <c r="AM294">
        <v>-0.14540169999999999</v>
      </c>
      <c r="AN294">
        <v>-9.4488500000000003E-2</v>
      </c>
      <c r="AO294">
        <v>0.33709899999999998</v>
      </c>
      <c r="AP294">
        <v>1.9355629999999999</v>
      </c>
      <c r="AQ294">
        <v>1.8495159999999999</v>
      </c>
      <c r="AR294">
        <v>1.833107</v>
      </c>
      <c r="AS294">
        <v>1.863132</v>
      </c>
      <c r="AT294">
        <v>1.973492</v>
      </c>
      <c r="AU294">
        <v>1.943848</v>
      </c>
      <c r="AV294">
        <v>1.8324290000000001</v>
      </c>
      <c r="AW294">
        <v>1.672655</v>
      </c>
      <c r="AX294">
        <v>0.75431029999999999</v>
      </c>
      <c r="AY294">
        <v>-9.2128500000000002E-2</v>
      </c>
      <c r="AZ294">
        <v>-2.5533E-2</v>
      </c>
      <c r="BA294">
        <v>-6.0631400000000002E-2</v>
      </c>
      <c r="BB294">
        <v>0.15995319999999999</v>
      </c>
      <c r="BC294">
        <v>0.1574624</v>
      </c>
      <c r="BD294">
        <v>0.15068819999999999</v>
      </c>
      <c r="BE294">
        <v>0.1580309</v>
      </c>
      <c r="BF294">
        <v>0.16451009999999999</v>
      </c>
      <c r="BG294">
        <v>0.16280900000000001</v>
      </c>
      <c r="BH294">
        <v>8.4988300000000003E-2</v>
      </c>
      <c r="BI294">
        <v>-1.671E-3</v>
      </c>
      <c r="BJ294">
        <v>1.3992599999999999E-2</v>
      </c>
      <c r="BK294">
        <v>-8.5490999999999998E-2</v>
      </c>
      <c r="BL294">
        <v>-3.6877300000000002E-2</v>
      </c>
      <c r="BM294">
        <v>0.39376739999999999</v>
      </c>
      <c r="BN294">
        <v>1.9798020000000001</v>
      </c>
      <c r="BO294">
        <v>1.9100239999999999</v>
      </c>
      <c r="BP294">
        <v>1.8941619999999999</v>
      </c>
      <c r="BQ294">
        <v>1.923702</v>
      </c>
      <c r="BR294">
        <v>2.0210789999999998</v>
      </c>
      <c r="BS294">
        <v>2.0034320000000001</v>
      </c>
      <c r="BT294">
        <v>1.9028320000000001</v>
      </c>
      <c r="BU294">
        <v>1.7669570000000001</v>
      </c>
      <c r="BV294">
        <v>0.86349489999999995</v>
      </c>
      <c r="BW294">
        <v>-1.99522E-2</v>
      </c>
      <c r="BX294">
        <v>3.4220399999999998E-2</v>
      </c>
      <c r="BY294">
        <v>6.6743999999999996E-3</v>
      </c>
      <c r="BZ294">
        <v>0.179456</v>
      </c>
      <c r="CA294">
        <v>0.17819109999999999</v>
      </c>
      <c r="CB294">
        <v>0.1716616</v>
      </c>
      <c r="CC294">
        <v>0.17764869999999999</v>
      </c>
      <c r="CD294">
        <v>0.1829383</v>
      </c>
      <c r="CE294">
        <v>0.1865154</v>
      </c>
      <c r="CF294">
        <v>0.108235</v>
      </c>
      <c r="CG294">
        <v>2.3289199999999999E-2</v>
      </c>
      <c r="CH294">
        <v>4.1957000000000001E-2</v>
      </c>
      <c r="CI294">
        <v>-4.3997099999999997E-2</v>
      </c>
      <c r="CJ294">
        <v>3.0240000000000002E-3</v>
      </c>
      <c r="CK294">
        <v>0.43301580000000001</v>
      </c>
      <c r="CL294">
        <v>2.0104419999999998</v>
      </c>
      <c r="CM294">
        <v>1.951932</v>
      </c>
      <c r="CN294">
        <v>1.9364490000000001</v>
      </c>
      <c r="CO294">
        <v>1.9656530000000001</v>
      </c>
      <c r="CP294">
        <v>2.0540379999999998</v>
      </c>
      <c r="CQ294">
        <v>2.0447000000000002</v>
      </c>
      <c r="CR294">
        <v>1.951592</v>
      </c>
      <c r="CS294">
        <v>1.8322700000000001</v>
      </c>
      <c r="CT294">
        <v>0.93911579999999995</v>
      </c>
      <c r="CU294">
        <v>3.0036799999999999E-2</v>
      </c>
      <c r="CV294">
        <v>7.5605400000000003E-2</v>
      </c>
      <c r="CW294">
        <v>5.3290200000000003E-2</v>
      </c>
      <c r="CX294">
        <v>0.19895869999999999</v>
      </c>
      <c r="CY294">
        <v>0.1989197</v>
      </c>
      <c r="CZ294">
        <v>0.192635</v>
      </c>
      <c r="DA294">
        <v>0.19726650000000001</v>
      </c>
      <c r="DB294">
        <v>0.20136660000000001</v>
      </c>
      <c r="DC294">
        <v>0.21022179999999999</v>
      </c>
      <c r="DD294">
        <v>0.13148180000000001</v>
      </c>
      <c r="DE294">
        <v>4.8249500000000001E-2</v>
      </c>
      <c r="DF294">
        <v>6.9921300000000006E-2</v>
      </c>
      <c r="DG294">
        <v>-2.5030999999999999E-3</v>
      </c>
      <c r="DH294">
        <v>4.2925400000000002E-2</v>
      </c>
      <c r="DI294">
        <v>0.47226420000000002</v>
      </c>
      <c r="DJ294">
        <v>2.0410810000000001</v>
      </c>
      <c r="DK294">
        <v>1.9938400000000001</v>
      </c>
      <c r="DL294">
        <v>1.9787349999999999</v>
      </c>
      <c r="DM294">
        <v>2.0076040000000002</v>
      </c>
      <c r="DN294">
        <v>2.0869970000000002</v>
      </c>
      <c r="DO294">
        <v>2.0859679999999998</v>
      </c>
      <c r="DP294">
        <v>2.000353</v>
      </c>
      <c r="DQ294">
        <v>1.8975820000000001</v>
      </c>
      <c r="DR294">
        <v>1.014737</v>
      </c>
      <c r="DS294">
        <v>8.0025799999999994E-2</v>
      </c>
      <c r="DT294">
        <v>0.11699039999999999</v>
      </c>
      <c r="DU294">
        <v>9.9905999999999995E-2</v>
      </c>
      <c r="DV294">
        <v>0.2271175</v>
      </c>
      <c r="DW294">
        <v>0.22884860000000001</v>
      </c>
      <c r="DX294">
        <v>0.22291720000000001</v>
      </c>
      <c r="DY294">
        <v>0.2255915</v>
      </c>
      <c r="DZ294">
        <v>0.22797400000000001</v>
      </c>
      <c r="EA294">
        <v>0.2444501</v>
      </c>
      <c r="EB294">
        <v>0.16504640000000001</v>
      </c>
      <c r="EC294">
        <v>8.4288199999999994E-2</v>
      </c>
      <c r="ED294">
        <v>0.1102974</v>
      </c>
      <c r="EE294">
        <v>5.74075E-2</v>
      </c>
      <c r="EF294">
        <v>0.1005366</v>
      </c>
      <c r="EG294">
        <v>0.52893259999999998</v>
      </c>
      <c r="EH294">
        <v>2.0853199999999998</v>
      </c>
      <c r="EI294">
        <v>2.0543480000000001</v>
      </c>
      <c r="EJ294">
        <v>2.03979</v>
      </c>
      <c r="EK294">
        <v>2.0681750000000001</v>
      </c>
      <c r="EL294">
        <v>2.1345839999999998</v>
      </c>
      <c r="EM294">
        <v>2.1455510000000002</v>
      </c>
      <c r="EN294">
        <v>2.0707550000000001</v>
      </c>
      <c r="EO294">
        <v>1.991884</v>
      </c>
      <c r="EP294">
        <v>1.1239209999999999</v>
      </c>
      <c r="EQ294">
        <v>0.152202</v>
      </c>
      <c r="ER294">
        <v>0.17674380000000001</v>
      </c>
      <c r="ES294">
        <v>0.16721179999999999</v>
      </c>
      <c r="ET294">
        <v>61.826729999999998</v>
      </c>
      <c r="EU294">
        <v>60.213349999999998</v>
      </c>
      <c r="EV294">
        <v>58.904760000000003</v>
      </c>
      <c r="EW294">
        <v>58.18862</v>
      </c>
      <c r="EX294">
        <v>56.8992</v>
      </c>
      <c r="EY294">
        <v>56.488939999999999</v>
      </c>
      <c r="EZ294">
        <v>56.655709999999999</v>
      </c>
      <c r="FA294">
        <v>58.243139999999997</v>
      </c>
      <c r="FB294">
        <v>61.044179999999997</v>
      </c>
      <c r="FC294">
        <v>64.017920000000004</v>
      </c>
      <c r="FD294">
        <v>69.069850000000002</v>
      </c>
      <c r="FE294">
        <v>74.257419999999996</v>
      </c>
      <c r="FF294">
        <v>78.904309999999995</v>
      </c>
      <c r="FG294">
        <v>83.012079999999997</v>
      </c>
      <c r="FH294">
        <v>85.722790000000003</v>
      </c>
      <c r="FI294">
        <v>86.923910000000006</v>
      </c>
      <c r="FJ294">
        <v>86.743030000000005</v>
      </c>
      <c r="FK294">
        <v>85.286410000000004</v>
      </c>
      <c r="FL294">
        <v>81.405770000000004</v>
      </c>
      <c r="FM294">
        <v>77.331410000000005</v>
      </c>
      <c r="FN294">
        <v>70.002930000000006</v>
      </c>
      <c r="FO294">
        <v>65.509699999999995</v>
      </c>
      <c r="FP294">
        <v>62.953049999999998</v>
      </c>
      <c r="FQ294">
        <v>60.839979999999997</v>
      </c>
      <c r="FR294">
        <v>1</v>
      </c>
      <c r="FT294" s="44"/>
    </row>
    <row r="295" spans="1:176" x14ac:dyDescent="0.2">
      <c r="A295" t="s">
        <v>195</v>
      </c>
      <c r="B295" t="s">
        <v>1</v>
      </c>
      <c r="C295" s="70">
        <v>41851</v>
      </c>
      <c r="D295">
        <v>2</v>
      </c>
      <c r="E295" s="70">
        <v>49</v>
      </c>
      <c r="F295">
        <v>12.00442</v>
      </c>
      <c r="G295">
        <v>11.811030000000001</v>
      </c>
      <c r="H295">
        <v>11.640359999999999</v>
      </c>
      <c r="I295">
        <v>11.84427</v>
      </c>
      <c r="J295">
        <v>11.999919999999999</v>
      </c>
      <c r="K295">
        <v>13.42454</v>
      </c>
      <c r="L295">
        <v>15.77168</v>
      </c>
      <c r="M295">
        <v>17.329740000000001</v>
      </c>
      <c r="N295">
        <v>18.018820000000002</v>
      </c>
      <c r="O295">
        <v>19.314769999999999</v>
      </c>
      <c r="P295">
        <v>19.03152</v>
      </c>
      <c r="Q295">
        <v>18.74521</v>
      </c>
      <c r="R295">
        <v>18.438880000000001</v>
      </c>
      <c r="S295">
        <v>18.809699999999999</v>
      </c>
      <c r="T295">
        <v>18.594950000000001</v>
      </c>
      <c r="U295">
        <v>17.545089999999998</v>
      </c>
      <c r="V295">
        <v>16.411359999999998</v>
      </c>
      <c r="W295">
        <v>15.268890000000001</v>
      </c>
      <c r="X295">
        <v>14.150130000000001</v>
      </c>
      <c r="Y295">
        <v>13.655530000000001</v>
      </c>
      <c r="Z295">
        <v>13.384180000000001</v>
      </c>
      <c r="AA295">
        <v>12.79415</v>
      </c>
      <c r="AB295">
        <v>12.012180000000001</v>
      </c>
      <c r="AC295">
        <v>11.324809999999999</v>
      </c>
      <c r="AD295">
        <v>7.3245299999999999E-2</v>
      </c>
      <c r="AE295">
        <v>7.2371400000000002E-2</v>
      </c>
      <c r="AF295">
        <v>7.7313199999999999E-2</v>
      </c>
      <c r="AG295">
        <v>8.2019999999999996E-2</v>
      </c>
      <c r="AH295">
        <v>4.3987499999999999E-2</v>
      </c>
      <c r="AI295">
        <v>1.7849199999999999E-2</v>
      </c>
      <c r="AJ295">
        <v>-2.2231999999999998E-2</v>
      </c>
      <c r="AK295">
        <v>-4.2389200000000002E-2</v>
      </c>
      <c r="AL295">
        <v>-1.7850399999999999E-2</v>
      </c>
      <c r="AM295">
        <v>-0.15124899999999999</v>
      </c>
      <c r="AN295">
        <v>-4.3445400000000002E-2</v>
      </c>
      <c r="AO295">
        <v>1.1091519999999999</v>
      </c>
      <c r="AP295">
        <v>1.9393860000000001</v>
      </c>
      <c r="AQ295">
        <v>1.8625849999999999</v>
      </c>
      <c r="AR295">
        <v>1.878355</v>
      </c>
      <c r="AS295">
        <v>1.9550080000000001</v>
      </c>
      <c r="AT295">
        <v>1.965757</v>
      </c>
      <c r="AU295">
        <v>1.852722</v>
      </c>
      <c r="AV295">
        <v>1.6584030000000001</v>
      </c>
      <c r="AW295">
        <v>1.5132540000000001</v>
      </c>
      <c r="AX295">
        <v>0.52471690000000004</v>
      </c>
      <c r="AY295">
        <v>-3.19411E-2</v>
      </c>
      <c r="AZ295">
        <v>-2.5452900000000001E-2</v>
      </c>
      <c r="BA295">
        <v>-5.75209E-2</v>
      </c>
      <c r="BB295">
        <v>9.9342100000000003E-2</v>
      </c>
      <c r="BC295">
        <v>9.9429299999999998E-2</v>
      </c>
      <c r="BD295">
        <v>0.1046489</v>
      </c>
      <c r="BE295">
        <v>0.1077722</v>
      </c>
      <c r="BF295">
        <v>6.8040199999999995E-2</v>
      </c>
      <c r="BG295">
        <v>4.7174500000000001E-2</v>
      </c>
      <c r="BH295">
        <v>6.3038E-3</v>
      </c>
      <c r="BI295">
        <v>-1.00482E-2</v>
      </c>
      <c r="BJ295">
        <v>1.66935E-2</v>
      </c>
      <c r="BK295">
        <v>-0.1031709</v>
      </c>
      <c r="BL295">
        <v>4.2648E-3</v>
      </c>
      <c r="BM295">
        <v>1.1592020000000001</v>
      </c>
      <c r="BN295">
        <v>1.9799</v>
      </c>
      <c r="BO295">
        <v>1.9173230000000001</v>
      </c>
      <c r="BP295">
        <v>1.9354290000000001</v>
      </c>
      <c r="BQ295">
        <v>1.9982569999999999</v>
      </c>
      <c r="BR295">
        <v>2.0114899999999998</v>
      </c>
      <c r="BS295">
        <v>1.928623</v>
      </c>
      <c r="BT295">
        <v>1.761733</v>
      </c>
      <c r="BU295">
        <v>1.639219</v>
      </c>
      <c r="BV295">
        <v>0.70255489999999998</v>
      </c>
      <c r="BW295">
        <v>6.2557299999999996E-2</v>
      </c>
      <c r="BX295">
        <v>3.4757999999999997E-2</v>
      </c>
      <c r="BY295">
        <v>1.08694E-2</v>
      </c>
      <c r="BZ295">
        <v>0.1174166</v>
      </c>
      <c r="CA295">
        <v>0.1181695</v>
      </c>
      <c r="CB295">
        <v>0.1235815</v>
      </c>
      <c r="CC295">
        <v>0.1256081</v>
      </c>
      <c r="CD295">
        <v>8.4698999999999997E-2</v>
      </c>
      <c r="CE295">
        <v>6.7485100000000006E-2</v>
      </c>
      <c r="CF295">
        <v>2.60676E-2</v>
      </c>
      <c r="CG295">
        <v>1.2351000000000001E-2</v>
      </c>
      <c r="CH295">
        <v>4.0618500000000002E-2</v>
      </c>
      <c r="CI295">
        <v>-6.9872199999999995E-2</v>
      </c>
      <c r="CJ295">
        <v>3.73087E-2</v>
      </c>
      <c r="CK295">
        <v>1.193867</v>
      </c>
      <c r="CL295">
        <v>2.0079609999999999</v>
      </c>
      <c r="CM295">
        <v>1.9552339999999999</v>
      </c>
      <c r="CN295">
        <v>1.974958</v>
      </c>
      <c r="CO295">
        <v>2.0282110000000002</v>
      </c>
      <c r="CP295">
        <v>2.043164</v>
      </c>
      <c r="CQ295">
        <v>1.9811909999999999</v>
      </c>
      <c r="CR295">
        <v>1.833299</v>
      </c>
      <c r="CS295">
        <v>1.7264619999999999</v>
      </c>
      <c r="CT295">
        <v>0.82572500000000004</v>
      </c>
      <c r="CU295">
        <v>0.1280066</v>
      </c>
      <c r="CV295">
        <v>7.6459799999999994E-2</v>
      </c>
      <c r="CW295">
        <v>5.8236299999999998E-2</v>
      </c>
      <c r="CX295">
        <v>0.1354911</v>
      </c>
      <c r="CY295">
        <v>0.1369097</v>
      </c>
      <c r="CZ295">
        <v>0.1425141</v>
      </c>
      <c r="DA295">
        <v>0.14344399999999999</v>
      </c>
      <c r="DB295">
        <v>0.1013578</v>
      </c>
      <c r="DC295">
        <v>8.7795700000000004E-2</v>
      </c>
      <c r="DD295">
        <v>4.5831400000000001E-2</v>
      </c>
      <c r="DE295">
        <v>3.4750299999999998E-2</v>
      </c>
      <c r="DF295">
        <v>6.4543500000000004E-2</v>
      </c>
      <c r="DG295">
        <v>-3.6573500000000002E-2</v>
      </c>
      <c r="DH295">
        <v>7.0352600000000001E-2</v>
      </c>
      <c r="DI295">
        <v>1.228532</v>
      </c>
      <c r="DJ295">
        <v>2.0360209999999999</v>
      </c>
      <c r="DK295">
        <v>1.9931449999999999</v>
      </c>
      <c r="DL295">
        <v>2.0144869999999999</v>
      </c>
      <c r="DM295">
        <v>2.0581649999999998</v>
      </c>
      <c r="DN295">
        <v>2.0748389999999999</v>
      </c>
      <c r="DO295">
        <v>2.0337589999999999</v>
      </c>
      <c r="DP295">
        <v>1.9048659999999999</v>
      </c>
      <c r="DQ295">
        <v>1.8137049999999999</v>
      </c>
      <c r="DR295">
        <v>0.94889509999999999</v>
      </c>
      <c r="DS295">
        <v>0.19345580000000001</v>
      </c>
      <c r="DT295">
        <v>0.11816169999999999</v>
      </c>
      <c r="DU295">
        <v>0.10560319999999999</v>
      </c>
      <c r="DV295">
        <v>0.16158790000000001</v>
      </c>
      <c r="DW295">
        <v>0.16396759999999999</v>
      </c>
      <c r="DX295">
        <v>0.1698498</v>
      </c>
      <c r="DY295">
        <v>0.16919619999999999</v>
      </c>
      <c r="DZ295">
        <v>0.12541050000000001</v>
      </c>
      <c r="EA295">
        <v>0.117121</v>
      </c>
      <c r="EB295">
        <v>7.4367100000000005E-2</v>
      </c>
      <c r="EC295">
        <v>6.7091300000000006E-2</v>
      </c>
      <c r="ED295">
        <v>9.9087499999999995E-2</v>
      </c>
      <c r="EE295">
        <v>1.15046E-2</v>
      </c>
      <c r="EF295">
        <v>0.1180628</v>
      </c>
      <c r="EG295">
        <v>1.278583</v>
      </c>
      <c r="EH295">
        <v>2.0765349999999998</v>
      </c>
      <c r="EI295">
        <v>2.0478830000000001</v>
      </c>
      <c r="EJ295">
        <v>2.0715599999999998</v>
      </c>
      <c r="EK295">
        <v>2.1014140000000001</v>
      </c>
      <c r="EL295">
        <v>2.1205720000000001</v>
      </c>
      <c r="EM295">
        <v>2.1096590000000002</v>
      </c>
      <c r="EN295">
        <v>2.0081959999999999</v>
      </c>
      <c r="EO295">
        <v>1.93967</v>
      </c>
      <c r="EP295">
        <v>1.126733</v>
      </c>
      <c r="EQ295">
        <v>0.28795419999999999</v>
      </c>
      <c r="ER295">
        <v>0.17837249999999999</v>
      </c>
      <c r="ES295">
        <v>0.1739935</v>
      </c>
      <c r="ET295">
        <v>58.790379999999999</v>
      </c>
      <c r="EU295">
        <v>57.603380000000001</v>
      </c>
      <c r="EV295">
        <v>56.707259999999998</v>
      </c>
      <c r="EW295">
        <v>55.405340000000002</v>
      </c>
      <c r="EX295">
        <v>54.626339999999999</v>
      </c>
      <c r="EY295">
        <v>54.381239999999998</v>
      </c>
      <c r="EZ295">
        <v>55.58193</v>
      </c>
      <c r="FA295">
        <v>57.137569999999997</v>
      </c>
      <c r="FB295">
        <v>58.731929999999998</v>
      </c>
      <c r="FC295">
        <v>62.412109999999998</v>
      </c>
      <c r="FD295">
        <v>67.308269999999993</v>
      </c>
      <c r="FE295">
        <v>73.414739999999995</v>
      </c>
      <c r="FF295">
        <v>77.714519999999993</v>
      </c>
      <c r="FG295">
        <v>80.819490000000002</v>
      </c>
      <c r="FH295">
        <v>82.222819999999999</v>
      </c>
      <c r="FI295">
        <v>84.604780000000005</v>
      </c>
      <c r="FJ295">
        <v>86.376199999999997</v>
      </c>
      <c r="FK295">
        <v>88.477620000000002</v>
      </c>
      <c r="FL295">
        <v>85.49297</v>
      </c>
      <c r="FM295">
        <v>80.695009999999996</v>
      </c>
      <c r="FN295">
        <v>73.803060000000002</v>
      </c>
      <c r="FO295">
        <v>67.089429999999993</v>
      </c>
      <c r="FP295">
        <v>63.601280000000003</v>
      </c>
      <c r="FQ295">
        <v>61.070329999999998</v>
      </c>
      <c r="FR295">
        <v>1</v>
      </c>
      <c r="FT295" s="44"/>
    </row>
    <row r="296" spans="1:176" x14ac:dyDescent="0.2">
      <c r="A296" t="s">
        <v>195</v>
      </c>
      <c r="B296" t="s">
        <v>1</v>
      </c>
      <c r="C296" s="70">
        <v>41852</v>
      </c>
      <c r="D296">
        <v>0</v>
      </c>
      <c r="E296" s="70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T296" s="44"/>
    </row>
    <row r="297" spans="1:176" x14ac:dyDescent="0.2">
      <c r="A297" t="s">
        <v>195</v>
      </c>
      <c r="B297" t="s">
        <v>1</v>
      </c>
      <c r="C297" s="70">
        <v>41894</v>
      </c>
      <c r="D297">
        <v>0</v>
      </c>
      <c r="E297" s="70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T297" s="44"/>
    </row>
    <row r="298" spans="1:176" x14ac:dyDescent="0.2">
      <c r="A298" t="s">
        <v>195</v>
      </c>
      <c r="B298" t="s">
        <v>1</v>
      </c>
      <c r="C298" s="70">
        <v>41897</v>
      </c>
      <c r="D298">
        <v>0</v>
      </c>
      <c r="E298" s="70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T298" s="44"/>
    </row>
    <row r="299" spans="1:176" x14ac:dyDescent="0.2">
      <c r="A299" t="s">
        <v>195</v>
      </c>
      <c r="B299" t="s">
        <v>1</v>
      </c>
      <c r="C299" s="70">
        <v>41898</v>
      </c>
      <c r="D299">
        <v>2</v>
      </c>
      <c r="E299" s="70">
        <v>45</v>
      </c>
      <c r="F299">
        <v>11.303240000000001</v>
      </c>
      <c r="G299">
        <v>11.19157</v>
      </c>
      <c r="H299">
        <v>10.3939</v>
      </c>
      <c r="I299">
        <v>10.6286</v>
      </c>
      <c r="J299">
        <v>10.618370000000001</v>
      </c>
      <c r="K299">
        <v>12.123290000000001</v>
      </c>
      <c r="L299">
        <v>14.675700000000001</v>
      </c>
      <c r="M299">
        <v>15.965619999999999</v>
      </c>
      <c r="N299">
        <v>17.904240000000001</v>
      </c>
      <c r="O299">
        <v>18.470939999999999</v>
      </c>
      <c r="P299">
        <v>18.260169999999999</v>
      </c>
      <c r="Q299">
        <v>18.181480000000001</v>
      </c>
      <c r="R299">
        <v>17.781860000000002</v>
      </c>
      <c r="S299">
        <v>19.016380000000002</v>
      </c>
      <c r="T299">
        <v>18.569590000000002</v>
      </c>
      <c r="U299">
        <v>17.297650000000001</v>
      </c>
      <c r="V299">
        <v>15.26938</v>
      </c>
      <c r="W299">
        <v>14.024520000000001</v>
      </c>
      <c r="X299">
        <v>13.165190000000001</v>
      </c>
      <c r="Y299">
        <v>13.3773</v>
      </c>
      <c r="Z299">
        <v>12.963290000000001</v>
      </c>
      <c r="AA299">
        <v>13.061210000000001</v>
      </c>
      <c r="AB299">
        <v>12.22059</v>
      </c>
      <c r="AC299">
        <v>11.18999</v>
      </c>
      <c r="AD299">
        <v>-5.3213400000000001E-2</v>
      </c>
      <c r="AE299">
        <v>-0.1232693</v>
      </c>
      <c r="AF299">
        <v>-0.13617509999999999</v>
      </c>
      <c r="AG299">
        <v>-0.12722410000000001</v>
      </c>
      <c r="AH299">
        <v>-0.13596030000000001</v>
      </c>
      <c r="AI299">
        <v>-0.13429469999999999</v>
      </c>
      <c r="AJ299">
        <v>-0.105182</v>
      </c>
      <c r="AK299">
        <v>-0.1231578</v>
      </c>
      <c r="AL299">
        <v>-9.4855200000000001E-2</v>
      </c>
      <c r="AM299">
        <v>-9.2518100000000006E-2</v>
      </c>
      <c r="AN299">
        <v>-0.11832429999999999</v>
      </c>
      <c r="AO299">
        <v>-4.7135700000000003E-2</v>
      </c>
      <c r="AP299">
        <v>6.5580799999999995E-2</v>
      </c>
      <c r="AQ299">
        <v>3.07856E-2</v>
      </c>
      <c r="AR299">
        <v>4.0467200000000002E-2</v>
      </c>
      <c r="AS299">
        <v>2.5634400000000002E-2</v>
      </c>
      <c r="AT299">
        <v>5.1744400000000003E-2</v>
      </c>
      <c r="AU299">
        <v>-2.0470700000000001E-2</v>
      </c>
      <c r="AV299">
        <v>6.0214799999999999E-2</v>
      </c>
      <c r="AW299">
        <v>0.13197600000000001</v>
      </c>
      <c r="AX299">
        <v>4.4202900000000003E-2</v>
      </c>
      <c r="AY299">
        <v>0.13936419999999999</v>
      </c>
      <c r="AZ299">
        <v>0.12175080000000001</v>
      </c>
      <c r="BA299">
        <v>-5.8659999999999997E-3</v>
      </c>
      <c r="BB299">
        <v>-3.3839500000000002E-2</v>
      </c>
      <c r="BC299">
        <v>-0.1047164</v>
      </c>
      <c r="BD299">
        <v>-0.11867030000000001</v>
      </c>
      <c r="BE299">
        <v>-0.11002820000000001</v>
      </c>
      <c r="BF299">
        <v>-0.1191265</v>
      </c>
      <c r="BG299">
        <v>-0.11279</v>
      </c>
      <c r="BH299">
        <v>-8.4118499999999999E-2</v>
      </c>
      <c r="BI299">
        <v>-0.1007702</v>
      </c>
      <c r="BJ299">
        <v>-7.3664199999999999E-2</v>
      </c>
      <c r="BK299">
        <v>-5.9278200000000003E-2</v>
      </c>
      <c r="BL299">
        <v>-8.3453100000000002E-2</v>
      </c>
      <c r="BM299">
        <v>-1.363E-2</v>
      </c>
      <c r="BN299">
        <v>9.9243499999999998E-2</v>
      </c>
      <c r="BO299">
        <v>7.1224300000000004E-2</v>
      </c>
      <c r="BP299">
        <v>8.2262199999999994E-2</v>
      </c>
      <c r="BQ299">
        <v>6.4819000000000002E-2</v>
      </c>
      <c r="BR299">
        <v>8.9085499999999998E-2</v>
      </c>
      <c r="BS299">
        <v>2.0356599999999999E-2</v>
      </c>
      <c r="BT299">
        <v>0.10073409999999999</v>
      </c>
      <c r="BU299">
        <v>0.17318339999999999</v>
      </c>
      <c r="BV299">
        <v>9.7090899999999994E-2</v>
      </c>
      <c r="BW299">
        <v>0.19048329999999999</v>
      </c>
      <c r="BX299">
        <v>0.170714</v>
      </c>
      <c r="BY299">
        <v>4.5833100000000002E-2</v>
      </c>
      <c r="BZ299">
        <v>-2.04212E-2</v>
      </c>
      <c r="CA299">
        <v>-9.1866799999999998E-2</v>
      </c>
      <c r="CB299">
        <v>-0.1065465</v>
      </c>
      <c r="CC299">
        <v>-9.8118399999999995E-2</v>
      </c>
      <c r="CD299">
        <v>-0.1074674</v>
      </c>
      <c r="CE299">
        <v>-9.7895800000000005E-2</v>
      </c>
      <c r="CF299">
        <v>-6.9529999999999995E-2</v>
      </c>
      <c r="CG299">
        <v>-8.5264699999999999E-2</v>
      </c>
      <c r="CH299">
        <v>-5.8987499999999998E-2</v>
      </c>
      <c r="CI299">
        <v>-3.6256299999999998E-2</v>
      </c>
      <c r="CJ299">
        <v>-5.9301399999999997E-2</v>
      </c>
      <c r="CK299">
        <v>9.5759E-3</v>
      </c>
      <c r="CL299">
        <v>0.12255820000000001</v>
      </c>
      <c r="CM299">
        <v>9.9232100000000004E-2</v>
      </c>
      <c r="CN299">
        <v>0.1112093</v>
      </c>
      <c r="CO299">
        <v>9.1958200000000004E-2</v>
      </c>
      <c r="CP299">
        <v>0.11494790000000001</v>
      </c>
      <c r="CQ299">
        <v>4.86334E-2</v>
      </c>
      <c r="CR299">
        <v>0.12879760000000001</v>
      </c>
      <c r="CS299">
        <v>0.2017235</v>
      </c>
      <c r="CT299">
        <v>0.13372100000000001</v>
      </c>
      <c r="CU299">
        <v>0.22588810000000001</v>
      </c>
      <c r="CV299">
        <v>0.2046258</v>
      </c>
      <c r="CW299">
        <v>8.1639799999999998E-2</v>
      </c>
      <c r="CX299">
        <v>-7.0028E-3</v>
      </c>
      <c r="CY299">
        <v>-7.9017100000000007E-2</v>
      </c>
      <c r="CZ299">
        <v>-9.4422800000000001E-2</v>
      </c>
      <c r="DA299">
        <v>-8.6208599999999996E-2</v>
      </c>
      <c r="DB299">
        <v>-9.5808299999999999E-2</v>
      </c>
      <c r="DC299">
        <v>-8.3001699999999998E-2</v>
      </c>
      <c r="DD299">
        <v>-5.4941499999999997E-2</v>
      </c>
      <c r="DE299">
        <v>-6.9759100000000004E-2</v>
      </c>
      <c r="DF299">
        <v>-4.4310700000000001E-2</v>
      </c>
      <c r="DG299">
        <v>-1.32344E-2</v>
      </c>
      <c r="DH299">
        <v>-3.5149800000000002E-2</v>
      </c>
      <c r="DI299">
        <v>3.27818E-2</v>
      </c>
      <c r="DJ299">
        <v>0.1458729</v>
      </c>
      <c r="DK299">
        <v>0.12723979999999999</v>
      </c>
      <c r="DL299">
        <v>0.14015649999999999</v>
      </c>
      <c r="DM299">
        <v>0.1190973</v>
      </c>
      <c r="DN299">
        <v>0.1408103</v>
      </c>
      <c r="DO299">
        <v>7.6910199999999998E-2</v>
      </c>
      <c r="DP299">
        <v>0.1568611</v>
      </c>
      <c r="DQ299">
        <v>0.23026369999999999</v>
      </c>
      <c r="DR299">
        <v>0.170351</v>
      </c>
      <c r="DS299">
        <v>0.261293</v>
      </c>
      <c r="DT299">
        <v>0.23853759999999999</v>
      </c>
      <c r="DU299">
        <v>0.11744640000000001</v>
      </c>
      <c r="DV299">
        <v>1.2371099999999999E-2</v>
      </c>
      <c r="DW299">
        <v>-6.0464200000000003E-2</v>
      </c>
      <c r="DX299">
        <v>-7.6918E-2</v>
      </c>
      <c r="DY299">
        <v>-6.9012699999999996E-2</v>
      </c>
      <c r="DZ299">
        <v>-7.8974500000000003E-2</v>
      </c>
      <c r="EA299">
        <v>-6.14969E-2</v>
      </c>
      <c r="EB299">
        <v>-3.3878100000000001E-2</v>
      </c>
      <c r="EC299">
        <v>-4.73716E-2</v>
      </c>
      <c r="ED299">
        <v>-2.31197E-2</v>
      </c>
      <c r="EE299">
        <v>2.0005599999999998E-2</v>
      </c>
      <c r="EF299">
        <v>-2.786E-4</v>
      </c>
      <c r="EG299">
        <v>6.6287499999999999E-2</v>
      </c>
      <c r="EH299">
        <v>0.17953559999999999</v>
      </c>
      <c r="EI299">
        <v>0.16767850000000001</v>
      </c>
      <c r="EJ299">
        <v>0.18195149999999999</v>
      </c>
      <c r="EK299">
        <v>0.15828200000000001</v>
      </c>
      <c r="EL299">
        <v>0.17815139999999999</v>
      </c>
      <c r="EM299">
        <v>0.11773749999999999</v>
      </c>
      <c r="EN299">
        <v>0.19738040000000001</v>
      </c>
      <c r="EO299">
        <v>0.27147110000000002</v>
      </c>
      <c r="EP299">
        <v>0.22323899999999999</v>
      </c>
      <c r="EQ299">
        <v>0.31241200000000002</v>
      </c>
      <c r="ER299">
        <v>0.2875009</v>
      </c>
      <c r="ES299">
        <v>0.16914560000000001</v>
      </c>
      <c r="ET299">
        <v>59.89132</v>
      </c>
      <c r="EU299">
        <v>60.429699999999997</v>
      </c>
      <c r="EV299">
        <v>60.082000000000001</v>
      </c>
      <c r="EW299">
        <v>57.183610000000002</v>
      </c>
      <c r="EX299">
        <v>56.191960000000002</v>
      </c>
      <c r="EY299">
        <v>57.195709999999998</v>
      </c>
      <c r="EZ299">
        <v>56.390189999999997</v>
      </c>
      <c r="FA299">
        <v>56.355080000000001</v>
      </c>
      <c r="FB299">
        <v>61.486710000000002</v>
      </c>
      <c r="FC299">
        <v>67.000240000000005</v>
      </c>
      <c r="FD299">
        <v>71.803619999999995</v>
      </c>
      <c r="FE299">
        <v>75.874319999999997</v>
      </c>
      <c r="FF299">
        <v>79.487819999999999</v>
      </c>
      <c r="FG299">
        <v>82.871369999999999</v>
      </c>
      <c r="FH299">
        <v>85.118970000000004</v>
      </c>
      <c r="FI299">
        <v>86.176839999999999</v>
      </c>
      <c r="FJ299">
        <v>84.615309999999994</v>
      </c>
      <c r="FK299">
        <v>82.247380000000007</v>
      </c>
      <c r="FL299">
        <v>75.363010000000003</v>
      </c>
      <c r="FM299">
        <v>70.088179999999994</v>
      </c>
      <c r="FN299">
        <v>66.867199999999997</v>
      </c>
      <c r="FO299">
        <v>65.224689999999995</v>
      </c>
      <c r="FP299">
        <v>64.613349999999997</v>
      </c>
      <c r="FQ299">
        <v>63.388539999999999</v>
      </c>
      <c r="FR299">
        <v>1</v>
      </c>
      <c r="FT299" s="44"/>
    </row>
    <row r="300" spans="1:176" x14ac:dyDescent="0.2">
      <c r="A300" t="s">
        <v>195</v>
      </c>
      <c r="B300" t="s">
        <v>1</v>
      </c>
      <c r="C300" s="70" t="s">
        <v>2</v>
      </c>
      <c r="D300">
        <v>2</v>
      </c>
      <c r="E300" s="70">
        <v>48.333300000000001</v>
      </c>
      <c r="F300">
        <v>11.69139</v>
      </c>
      <c r="G300">
        <v>11.511710000000001</v>
      </c>
      <c r="H300">
        <v>11.346819999999999</v>
      </c>
      <c r="I300">
        <v>11.5533</v>
      </c>
      <c r="J300">
        <v>11.639670000000001</v>
      </c>
      <c r="K300">
        <v>13.201919999999999</v>
      </c>
      <c r="L300">
        <v>15.39296</v>
      </c>
      <c r="M300">
        <v>17.188110000000002</v>
      </c>
      <c r="N300">
        <v>18.485610000000001</v>
      </c>
      <c r="O300">
        <v>19.353179999999998</v>
      </c>
      <c r="P300">
        <v>19.353940000000001</v>
      </c>
      <c r="Q300">
        <v>19.692640000000001</v>
      </c>
      <c r="R300">
        <v>19.326969999999999</v>
      </c>
      <c r="S300">
        <v>19.841719999999999</v>
      </c>
      <c r="T300">
        <v>19.604669999999999</v>
      </c>
      <c r="U300">
        <v>17.749919999999999</v>
      </c>
      <c r="V300">
        <v>16.585550000000001</v>
      </c>
      <c r="W300">
        <v>15.51008</v>
      </c>
      <c r="X300">
        <v>14.680569999999999</v>
      </c>
      <c r="Y300">
        <v>14.53647</v>
      </c>
      <c r="Z300">
        <v>14.285310000000001</v>
      </c>
      <c r="AA300">
        <v>14.023669999999999</v>
      </c>
      <c r="AB300">
        <v>13.28303</v>
      </c>
      <c r="AC300">
        <v>12.51127</v>
      </c>
      <c r="AD300">
        <v>-5.5026899999999997E-2</v>
      </c>
      <c r="AE300">
        <v>-7.4083499999999997E-2</v>
      </c>
      <c r="AF300">
        <v>-7.2173600000000004E-2</v>
      </c>
      <c r="AG300">
        <v>0.1078645</v>
      </c>
      <c r="AH300">
        <v>8.7046799999999994E-2</v>
      </c>
      <c r="AI300">
        <v>7.6921000000000003E-2</v>
      </c>
      <c r="AJ300">
        <v>8.3035600000000001E-2</v>
      </c>
      <c r="AK300">
        <v>6.5897200000000003E-2</v>
      </c>
      <c r="AL300">
        <v>-7.6188500000000006E-2</v>
      </c>
      <c r="AM300">
        <v>-0.26836599999999999</v>
      </c>
      <c r="AN300">
        <v>-0.29854320000000001</v>
      </c>
      <c r="AO300">
        <v>-7.8165700000000005E-2</v>
      </c>
      <c r="AP300">
        <v>0.67973110000000003</v>
      </c>
      <c r="AQ300">
        <v>0.60258730000000005</v>
      </c>
      <c r="AR300">
        <v>0.61133380000000004</v>
      </c>
      <c r="AS300">
        <v>0.59990410000000005</v>
      </c>
      <c r="AT300">
        <v>0.63915180000000005</v>
      </c>
      <c r="AU300">
        <v>0.55976530000000002</v>
      </c>
      <c r="AV300">
        <v>0.58106709999999995</v>
      </c>
      <c r="AW300">
        <v>0.52480939999999998</v>
      </c>
      <c r="AX300">
        <v>0.1146606</v>
      </c>
      <c r="AY300">
        <v>-0.28447699999999998</v>
      </c>
      <c r="AZ300">
        <v>-0.1933193</v>
      </c>
      <c r="BA300">
        <v>-0.2544843</v>
      </c>
      <c r="BB300">
        <v>-2.1053200000000001E-2</v>
      </c>
      <c r="BC300">
        <v>-3.9766000000000003E-2</v>
      </c>
      <c r="BD300">
        <v>-3.8833899999999998E-2</v>
      </c>
      <c r="BE300">
        <v>0.13877300000000001</v>
      </c>
      <c r="BF300">
        <v>0.1155887</v>
      </c>
      <c r="BG300">
        <v>0.10812629999999999</v>
      </c>
      <c r="BH300">
        <v>0.11413429999999999</v>
      </c>
      <c r="BI300">
        <v>0.1023023</v>
      </c>
      <c r="BJ300">
        <v>-1.2098299999999999E-2</v>
      </c>
      <c r="BK300">
        <v>-0.192048</v>
      </c>
      <c r="BL300">
        <v>-0.23038130000000001</v>
      </c>
      <c r="BM300">
        <v>-7.4161000000000001E-3</v>
      </c>
      <c r="BN300">
        <v>0.75000849999999997</v>
      </c>
      <c r="BO300">
        <v>0.6799982</v>
      </c>
      <c r="BP300">
        <v>0.68736699999999995</v>
      </c>
      <c r="BQ300">
        <v>0.67781729999999996</v>
      </c>
      <c r="BR300">
        <v>0.71202889999999996</v>
      </c>
      <c r="BS300">
        <v>0.65213019999999999</v>
      </c>
      <c r="BT300">
        <v>0.67435069999999997</v>
      </c>
      <c r="BU300">
        <v>0.62995089999999998</v>
      </c>
      <c r="BV300">
        <v>0.23773130000000001</v>
      </c>
      <c r="BW300">
        <v>-0.18101</v>
      </c>
      <c r="BX300">
        <v>-0.1113625</v>
      </c>
      <c r="BY300">
        <v>-0.16172410000000001</v>
      </c>
      <c r="BZ300">
        <v>2.4767999999999999E-3</v>
      </c>
      <c r="CA300">
        <v>-1.59978E-2</v>
      </c>
      <c r="CB300">
        <v>-1.5742900000000001E-2</v>
      </c>
      <c r="CC300">
        <v>0.16017999999999999</v>
      </c>
      <c r="CD300">
        <v>0.1353567</v>
      </c>
      <c r="CE300">
        <v>0.1297391</v>
      </c>
      <c r="CF300">
        <v>0.13567319999999999</v>
      </c>
      <c r="CG300">
        <v>0.1275163</v>
      </c>
      <c r="CH300">
        <v>3.22905E-2</v>
      </c>
      <c r="CI300">
        <v>-0.13919039999999999</v>
      </c>
      <c r="CJ300">
        <v>-0.18317259999999999</v>
      </c>
      <c r="CK300">
        <v>4.1584799999999998E-2</v>
      </c>
      <c r="CL300">
        <v>0.79868240000000001</v>
      </c>
      <c r="CM300">
        <v>0.73361279999999995</v>
      </c>
      <c r="CN300">
        <v>0.7400274</v>
      </c>
      <c r="CO300">
        <v>0.73177970000000003</v>
      </c>
      <c r="CP300">
        <v>0.76250340000000005</v>
      </c>
      <c r="CQ300">
        <v>0.71610189999999996</v>
      </c>
      <c r="CR300">
        <v>0.73895869999999997</v>
      </c>
      <c r="CS300">
        <v>0.70277160000000005</v>
      </c>
      <c r="CT300">
        <v>0.32296970000000003</v>
      </c>
      <c r="CU300">
        <v>-0.1093491</v>
      </c>
      <c r="CV300">
        <v>-5.4599500000000002E-2</v>
      </c>
      <c r="CW300">
        <v>-9.7478599999999999E-2</v>
      </c>
      <c r="CX300">
        <v>2.6006899999999999E-2</v>
      </c>
      <c r="CY300">
        <v>7.7704000000000002E-3</v>
      </c>
      <c r="CZ300">
        <v>7.3480999999999998E-3</v>
      </c>
      <c r="DA300">
        <v>0.1815871</v>
      </c>
      <c r="DB300">
        <v>0.1551246</v>
      </c>
      <c r="DC300">
        <v>0.15135180000000001</v>
      </c>
      <c r="DD300">
        <v>0.15721209999999999</v>
      </c>
      <c r="DE300">
        <v>0.15273039999999999</v>
      </c>
      <c r="DF300">
        <v>7.6679200000000003E-2</v>
      </c>
      <c r="DG300">
        <v>-8.6332699999999998E-2</v>
      </c>
      <c r="DH300">
        <v>-0.1359638</v>
      </c>
      <c r="DI300">
        <v>9.0585700000000005E-2</v>
      </c>
      <c r="DJ300">
        <v>0.84735629999999995</v>
      </c>
      <c r="DK300">
        <v>0.78722729999999996</v>
      </c>
      <c r="DL300">
        <v>0.79268780000000005</v>
      </c>
      <c r="DM300">
        <v>0.7857421</v>
      </c>
      <c r="DN300">
        <v>0.81297790000000003</v>
      </c>
      <c r="DO300">
        <v>0.78007349999999998</v>
      </c>
      <c r="DP300">
        <v>0.80356660000000002</v>
      </c>
      <c r="DQ300">
        <v>0.77559230000000001</v>
      </c>
      <c r="DR300">
        <v>0.40820820000000002</v>
      </c>
      <c r="DS300">
        <v>-3.7688199999999998E-2</v>
      </c>
      <c r="DT300">
        <v>2.1635000000000001E-3</v>
      </c>
      <c r="DU300">
        <v>-3.3233199999999997E-2</v>
      </c>
      <c r="DV300">
        <v>5.9980499999999999E-2</v>
      </c>
      <c r="DW300">
        <v>4.2087899999999998E-2</v>
      </c>
      <c r="DX300">
        <v>4.0687800000000003E-2</v>
      </c>
      <c r="DY300">
        <v>0.21249560000000001</v>
      </c>
      <c r="DZ300">
        <v>0.18366650000000001</v>
      </c>
      <c r="EA300">
        <v>0.1825572</v>
      </c>
      <c r="EB300">
        <v>0.1883109</v>
      </c>
      <c r="EC300">
        <v>0.18913550000000001</v>
      </c>
      <c r="ED300">
        <v>0.14076949999999999</v>
      </c>
      <c r="EE300">
        <v>-1.00147E-2</v>
      </c>
      <c r="EF300">
        <v>-6.7801899999999998E-2</v>
      </c>
      <c r="EG300">
        <v>0.16133520000000001</v>
      </c>
      <c r="EH300">
        <v>0.9176337</v>
      </c>
      <c r="EI300">
        <v>0.86463829999999997</v>
      </c>
      <c r="EJ300">
        <v>0.86872099999999997</v>
      </c>
      <c r="EK300">
        <v>0.86365530000000001</v>
      </c>
      <c r="EL300">
        <v>0.88585499999999995</v>
      </c>
      <c r="EM300">
        <v>0.87243850000000001</v>
      </c>
      <c r="EN300">
        <v>0.89685020000000004</v>
      </c>
      <c r="EO300">
        <v>0.88073380000000001</v>
      </c>
      <c r="EP300">
        <v>0.5312789</v>
      </c>
      <c r="EQ300">
        <v>6.5778799999999998E-2</v>
      </c>
      <c r="ER300">
        <v>8.4120299999999995E-2</v>
      </c>
      <c r="ES300">
        <v>5.9526999999999997E-2</v>
      </c>
      <c r="ET300">
        <v>60.143180000000001</v>
      </c>
      <c r="EU300">
        <v>59.01426</v>
      </c>
      <c r="EV300">
        <v>58.392969999999998</v>
      </c>
      <c r="EW300">
        <v>57.147779999999997</v>
      </c>
      <c r="EX300">
        <v>56.298290000000001</v>
      </c>
      <c r="EY300">
        <v>55.996540000000003</v>
      </c>
      <c r="EZ300">
        <v>56.09281</v>
      </c>
      <c r="FA300">
        <v>58.097819999999999</v>
      </c>
      <c r="FB300">
        <v>62.446190000000001</v>
      </c>
      <c r="FC300">
        <v>66.883889999999994</v>
      </c>
      <c r="FD300">
        <v>71.811089999999993</v>
      </c>
      <c r="FE300">
        <v>77.003200000000007</v>
      </c>
      <c r="FF300">
        <v>80.659850000000006</v>
      </c>
      <c r="FG300">
        <v>83.585329999999999</v>
      </c>
      <c r="FH300">
        <v>84.681849999999997</v>
      </c>
      <c r="FI300">
        <v>85.680790000000002</v>
      </c>
      <c r="FJ300">
        <v>85.573459999999997</v>
      </c>
      <c r="FK300">
        <v>84.811449999999994</v>
      </c>
      <c r="FL300">
        <v>80.75761</v>
      </c>
      <c r="FM300">
        <v>75.111509999999996</v>
      </c>
      <c r="FN300">
        <v>69.590739999999997</v>
      </c>
      <c r="FO300">
        <v>65.654619999999994</v>
      </c>
      <c r="FP300">
        <v>63.308990000000001</v>
      </c>
      <c r="FQ300">
        <v>61.255240000000001</v>
      </c>
      <c r="FR300">
        <v>1</v>
      </c>
      <c r="FT300" s="44"/>
    </row>
    <row r="301" spans="1:176" x14ac:dyDescent="0.2">
      <c r="A301" t="s">
        <v>195</v>
      </c>
      <c r="B301" t="s">
        <v>203</v>
      </c>
      <c r="C301" s="70">
        <v>41773</v>
      </c>
      <c r="D301">
        <v>0</v>
      </c>
      <c r="E301" s="70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T301" s="44"/>
    </row>
    <row r="302" spans="1:176" x14ac:dyDescent="0.2">
      <c r="A302" t="s">
        <v>195</v>
      </c>
      <c r="B302" t="s">
        <v>203</v>
      </c>
      <c r="C302" s="70">
        <v>41820</v>
      </c>
      <c r="D302">
        <v>0</v>
      </c>
      <c r="E302" s="70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T302" s="44"/>
    </row>
    <row r="303" spans="1:176" x14ac:dyDescent="0.2">
      <c r="A303" t="s">
        <v>195</v>
      </c>
      <c r="B303" t="s">
        <v>203</v>
      </c>
      <c r="C303" s="70">
        <v>41827</v>
      </c>
      <c r="D303">
        <v>0</v>
      </c>
      <c r="E303" s="70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T303" s="44"/>
    </row>
    <row r="304" spans="1:176" x14ac:dyDescent="0.2">
      <c r="A304" t="s">
        <v>195</v>
      </c>
      <c r="B304" t="s">
        <v>203</v>
      </c>
      <c r="C304" s="70">
        <v>41834</v>
      </c>
      <c r="D304">
        <v>0</v>
      </c>
      <c r="E304" s="70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T304" s="44"/>
    </row>
    <row r="305" spans="1:176" x14ac:dyDescent="0.2">
      <c r="A305" t="s">
        <v>195</v>
      </c>
      <c r="B305" t="s">
        <v>203</v>
      </c>
      <c r="C305" s="70">
        <v>41848</v>
      </c>
      <c r="D305">
        <v>0</v>
      </c>
      <c r="E305" s="70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T305" s="44"/>
    </row>
    <row r="306" spans="1:176" x14ac:dyDescent="0.2">
      <c r="A306" t="s">
        <v>195</v>
      </c>
      <c r="B306" t="s">
        <v>203</v>
      </c>
      <c r="C306" s="70">
        <v>41849</v>
      </c>
      <c r="D306">
        <v>0</v>
      </c>
      <c r="E306" s="70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T306" s="44"/>
    </row>
    <row r="307" spans="1:176" x14ac:dyDescent="0.2">
      <c r="A307" t="s">
        <v>195</v>
      </c>
      <c r="B307" t="s">
        <v>203</v>
      </c>
      <c r="C307" s="70">
        <v>41850</v>
      </c>
      <c r="D307">
        <v>0</v>
      </c>
      <c r="E307" s="70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T307" s="44"/>
    </row>
    <row r="308" spans="1:176" x14ac:dyDescent="0.2">
      <c r="A308" t="s">
        <v>195</v>
      </c>
      <c r="B308" t="s">
        <v>203</v>
      </c>
      <c r="C308" s="70">
        <v>41851</v>
      </c>
      <c r="D308">
        <v>0</v>
      </c>
      <c r="E308" s="70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T308" s="44"/>
    </row>
    <row r="309" spans="1:176" x14ac:dyDescent="0.2">
      <c r="A309" t="s">
        <v>195</v>
      </c>
      <c r="B309" t="s">
        <v>203</v>
      </c>
      <c r="C309" s="70">
        <v>41852</v>
      </c>
      <c r="D309">
        <v>0</v>
      </c>
      <c r="E309" s="70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T309" s="44"/>
    </row>
    <row r="310" spans="1:176" x14ac:dyDescent="0.2">
      <c r="A310" t="s">
        <v>195</v>
      </c>
      <c r="B310" t="s">
        <v>203</v>
      </c>
      <c r="C310" s="70">
        <v>41894</v>
      </c>
      <c r="D310">
        <v>0</v>
      </c>
      <c r="E310" s="7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T310" s="44"/>
    </row>
    <row r="311" spans="1:176" x14ac:dyDescent="0.2">
      <c r="A311" t="s">
        <v>195</v>
      </c>
      <c r="B311" t="s">
        <v>203</v>
      </c>
      <c r="C311" s="70">
        <v>41897</v>
      </c>
      <c r="D311">
        <v>0</v>
      </c>
      <c r="E311" s="70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T311" s="44"/>
    </row>
    <row r="312" spans="1:176" x14ac:dyDescent="0.2">
      <c r="A312" t="s">
        <v>195</v>
      </c>
      <c r="B312" t="s">
        <v>203</v>
      </c>
      <c r="C312" s="70">
        <v>41898</v>
      </c>
      <c r="D312">
        <v>0</v>
      </c>
      <c r="E312" s="70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T312" s="44"/>
    </row>
    <row r="313" spans="1:176" x14ac:dyDescent="0.2">
      <c r="A313" t="s">
        <v>195</v>
      </c>
      <c r="B313" t="s">
        <v>203</v>
      </c>
      <c r="C313" s="70" t="s">
        <v>2</v>
      </c>
      <c r="D313">
        <v>0</v>
      </c>
      <c r="E313" s="70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T313" s="44"/>
    </row>
    <row r="314" spans="1:176" x14ac:dyDescent="0.2">
      <c r="A314" t="s">
        <v>196</v>
      </c>
      <c r="B314" t="s">
        <v>202</v>
      </c>
      <c r="C314" s="70">
        <v>41773</v>
      </c>
      <c r="D314">
        <v>0</v>
      </c>
      <c r="E314" s="70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T314" s="44"/>
    </row>
    <row r="315" spans="1:176" x14ac:dyDescent="0.2">
      <c r="A315" t="s">
        <v>196</v>
      </c>
      <c r="B315" t="s">
        <v>202</v>
      </c>
      <c r="C315" s="70">
        <v>41820</v>
      </c>
      <c r="D315">
        <v>0</v>
      </c>
      <c r="E315" s="70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T315" s="44"/>
    </row>
    <row r="316" spans="1:176" x14ac:dyDescent="0.2">
      <c r="A316" t="s">
        <v>196</v>
      </c>
      <c r="B316" t="s">
        <v>202</v>
      </c>
      <c r="C316" s="70">
        <v>41827</v>
      </c>
      <c r="D316">
        <v>0</v>
      </c>
      <c r="E316" s="70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T316" s="44"/>
    </row>
    <row r="317" spans="1:176" x14ac:dyDescent="0.2">
      <c r="A317" t="s">
        <v>196</v>
      </c>
      <c r="B317" t="s">
        <v>202</v>
      </c>
      <c r="C317" s="70">
        <v>41834</v>
      </c>
      <c r="D317">
        <v>0</v>
      </c>
      <c r="E317" s="70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T317" s="44"/>
    </row>
    <row r="318" spans="1:176" x14ac:dyDescent="0.2">
      <c r="A318" t="s">
        <v>196</v>
      </c>
      <c r="B318" t="s">
        <v>202</v>
      </c>
      <c r="C318" s="70">
        <v>41848</v>
      </c>
      <c r="D318">
        <v>0</v>
      </c>
      <c r="E318" s="70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T318" s="44"/>
    </row>
    <row r="319" spans="1:176" x14ac:dyDescent="0.2">
      <c r="A319" t="s">
        <v>196</v>
      </c>
      <c r="B319" t="s">
        <v>202</v>
      </c>
      <c r="C319" s="70">
        <v>41849</v>
      </c>
      <c r="D319">
        <v>0</v>
      </c>
      <c r="E319" s="70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T319" s="44"/>
    </row>
    <row r="320" spans="1:176" x14ac:dyDescent="0.2">
      <c r="A320" t="s">
        <v>196</v>
      </c>
      <c r="B320" t="s">
        <v>202</v>
      </c>
      <c r="C320" s="70">
        <v>41850</v>
      </c>
      <c r="D320">
        <v>0</v>
      </c>
      <c r="E320" s="7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T320" s="44"/>
    </row>
    <row r="321" spans="1:176" x14ac:dyDescent="0.2">
      <c r="A321" t="s">
        <v>196</v>
      </c>
      <c r="B321" t="s">
        <v>202</v>
      </c>
      <c r="C321" s="70">
        <v>41851</v>
      </c>
      <c r="D321">
        <v>0</v>
      </c>
      <c r="E321" s="70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T321" s="44"/>
    </row>
    <row r="322" spans="1:176" x14ac:dyDescent="0.2">
      <c r="A322" t="s">
        <v>196</v>
      </c>
      <c r="B322" t="s">
        <v>202</v>
      </c>
      <c r="C322" s="70">
        <v>41852</v>
      </c>
      <c r="D322">
        <v>0</v>
      </c>
      <c r="E322" s="70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T322" s="44"/>
    </row>
    <row r="323" spans="1:176" x14ac:dyDescent="0.2">
      <c r="A323" t="s">
        <v>196</v>
      </c>
      <c r="B323" t="s">
        <v>202</v>
      </c>
      <c r="C323" s="70">
        <v>41894</v>
      </c>
      <c r="D323">
        <v>0</v>
      </c>
      <c r="E323" s="70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T323" s="44"/>
    </row>
    <row r="324" spans="1:176" x14ac:dyDescent="0.2">
      <c r="A324" t="s">
        <v>196</v>
      </c>
      <c r="B324" t="s">
        <v>202</v>
      </c>
      <c r="C324" s="70">
        <v>41897</v>
      </c>
      <c r="D324">
        <v>0</v>
      </c>
      <c r="E324" s="70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T324" s="44"/>
    </row>
    <row r="325" spans="1:176" x14ac:dyDescent="0.2">
      <c r="A325" t="s">
        <v>196</v>
      </c>
      <c r="B325" t="s">
        <v>202</v>
      </c>
      <c r="C325" s="70">
        <v>41898</v>
      </c>
      <c r="D325">
        <v>0</v>
      </c>
      <c r="E325" s="70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T325" s="44"/>
    </row>
    <row r="326" spans="1:176" x14ac:dyDescent="0.2">
      <c r="A326" t="s">
        <v>196</v>
      </c>
      <c r="B326" t="s">
        <v>202</v>
      </c>
      <c r="C326" s="70" t="s">
        <v>2</v>
      </c>
      <c r="D326">
        <v>0</v>
      </c>
      <c r="E326" s="70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T326" s="44"/>
    </row>
    <row r="327" spans="1:176" x14ac:dyDescent="0.2">
      <c r="A327" t="s">
        <v>196</v>
      </c>
      <c r="B327" t="s">
        <v>204</v>
      </c>
      <c r="C327" s="70">
        <v>41773</v>
      </c>
      <c r="D327">
        <v>0</v>
      </c>
      <c r="E327" s="70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T327" s="44"/>
    </row>
    <row r="328" spans="1:176" x14ac:dyDescent="0.2">
      <c r="A328" t="s">
        <v>196</v>
      </c>
      <c r="B328" t="s">
        <v>204</v>
      </c>
      <c r="C328" s="70">
        <v>41820</v>
      </c>
      <c r="D328">
        <v>0</v>
      </c>
      <c r="E328" s="70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T328" s="44"/>
    </row>
    <row r="329" spans="1:176" x14ac:dyDescent="0.2">
      <c r="A329" t="s">
        <v>196</v>
      </c>
      <c r="B329" t="s">
        <v>204</v>
      </c>
      <c r="C329" s="70">
        <v>41827</v>
      </c>
      <c r="D329">
        <v>0</v>
      </c>
      <c r="E329" s="70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T329" s="44"/>
    </row>
    <row r="330" spans="1:176" x14ac:dyDescent="0.2">
      <c r="A330" t="s">
        <v>196</v>
      </c>
      <c r="B330" t="s">
        <v>204</v>
      </c>
      <c r="C330" s="70">
        <v>41834</v>
      </c>
      <c r="D330">
        <v>0</v>
      </c>
      <c r="E330" s="7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T330" s="44"/>
    </row>
    <row r="331" spans="1:176" x14ac:dyDescent="0.2">
      <c r="A331" t="s">
        <v>196</v>
      </c>
      <c r="B331" t="s">
        <v>204</v>
      </c>
      <c r="C331" s="70">
        <v>41848</v>
      </c>
      <c r="D331">
        <v>0</v>
      </c>
      <c r="E331" s="70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T331" s="44"/>
    </row>
    <row r="332" spans="1:176" x14ac:dyDescent="0.2">
      <c r="A332" t="s">
        <v>196</v>
      </c>
      <c r="B332" t="s">
        <v>204</v>
      </c>
      <c r="C332" s="70">
        <v>41849</v>
      </c>
      <c r="D332">
        <v>0</v>
      </c>
      <c r="E332" s="70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T332" s="44"/>
    </row>
    <row r="333" spans="1:176" x14ac:dyDescent="0.2">
      <c r="A333" t="s">
        <v>196</v>
      </c>
      <c r="B333" t="s">
        <v>204</v>
      </c>
      <c r="C333" s="70">
        <v>41850</v>
      </c>
      <c r="D333">
        <v>0</v>
      </c>
      <c r="E333" s="70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T333" s="44"/>
    </row>
    <row r="334" spans="1:176" x14ac:dyDescent="0.2">
      <c r="A334" t="s">
        <v>196</v>
      </c>
      <c r="B334" t="s">
        <v>204</v>
      </c>
      <c r="C334" s="70">
        <v>41851</v>
      </c>
      <c r="D334">
        <v>0</v>
      </c>
      <c r="E334" s="70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T334" s="44"/>
    </row>
    <row r="335" spans="1:176" x14ac:dyDescent="0.2">
      <c r="A335" t="s">
        <v>196</v>
      </c>
      <c r="B335" t="s">
        <v>204</v>
      </c>
      <c r="C335" s="70">
        <v>41852</v>
      </c>
      <c r="D335">
        <v>0</v>
      </c>
      <c r="E335" s="70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T335" s="44"/>
    </row>
    <row r="336" spans="1:176" x14ac:dyDescent="0.2">
      <c r="A336" t="s">
        <v>196</v>
      </c>
      <c r="B336" t="s">
        <v>204</v>
      </c>
      <c r="C336" s="70">
        <v>41894</v>
      </c>
      <c r="D336">
        <v>0</v>
      </c>
      <c r="E336" s="70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T336" s="44"/>
    </row>
    <row r="337" spans="1:176" x14ac:dyDescent="0.2">
      <c r="A337" t="s">
        <v>196</v>
      </c>
      <c r="B337" t="s">
        <v>204</v>
      </c>
      <c r="C337" s="70">
        <v>41897</v>
      </c>
      <c r="D337">
        <v>0</v>
      </c>
      <c r="E337" s="70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T337" s="44"/>
    </row>
    <row r="338" spans="1:176" x14ac:dyDescent="0.2">
      <c r="A338" t="s">
        <v>196</v>
      </c>
      <c r="B338" t="s">
        <v>204</v>
      </c>
      <c r="C338" s="70">
        <v>41898</v>
      </c>
      <c r="D338">
        <v>0</v>
      </c>
      <c r="E338" s="70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T338" s="44"/>
    </row>
    <row r="339" spans="1:176" x14ac:dyDescent="0.2">
      <c r="A339" t="s">
        <v>196</v>
      </c>
      <c r="B339" t="s">
        <v>204</v>
      </c>
      <c r="C339" s="70" t="s">
        <v>2</v>
      </c>
      <c r="D339">
        <v>0</v>
      </c>
      <c r="E339" s="70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T339" s="44"/>
    </row>
    <row r="340" spans="1:176" x14ac:dyDescent="0.2">
      <c r="A340" t="s">
        <v>196</v>
      </c>
      <c r="B340" t="s">
        <v>1</v>
      </c>
      <c r="C340" s="70">
        <v>41773</v>
      </c>
      <c r="D340">
        <v>0</v>
      </c>
      <c r="E340" s="7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T340" s="44"/>
    </row>
    <row r="341" spans="1:176" x14ac:dyDescent="0.2">
      <c r="A341" t="s">
        <v>196</v>
      </c>
      <c r="B341" t="s">
        <v>1</v>
      </c>
      <c r="C341" s="70">
        <v>41820</v>
      </c>
      <c r="D341">
        <v>30</v>
      </c>
      <c r="E341" s="70">
        <v>249</v>
      </c>
      <c r="F341">
        <v>231.2441</v>
      </c>
      <c r="G341">
        <v>233.28550000000001</v>
      </c>
      <c r="H341">
        <v>235.5421</v>
      </c>
      <c r="I341">
        <v>238.12909999999999</v>
      </c>
      <c r="J341">
        <v>243.0378</v>
      </c>
      <c r="K341">
        <v>252.8443</v>
      </c>
      <c r="L341">
        <v>261.65260000000001</v>
      </c>
      <c r="M341">
        <v>269.63549999999998</v>
      </c>
      <c r="N341">
        <v>272.85039999999998</v>
      </c>
      <c r="O341">
        <v>280.80399999999997</v>
      </c>
      <c r="P341">
        <v>286.6003</v>
      </c>
      <c r="Q341">
        <v>290.46809999999999</v>
      </c>
      <c r="R341">
        <v>290.67099999999999</v>
      </c>
      <c r="S341">
        <v>292.14049999999997</v>
      </c>
      <c r="T341">
        <v>287.33679999999998</v>
      </c>
      <c r="U341">
        <v>281.13130000000001</v>
      </c>
      <c r="V341">
        <v>277.62040000000002</v>
      </c>
      <c r="W341">
        <v>275.83210000000003</v>
      </c>
      <c r="X341">
        <v>277.55500000000001</v>
      </c>
      <c r="Y341">
        <v>280.53620000000001</v>
      </c>
      <c r="Z341">
        <v>280.37369999999999</v>
      </c>
      <c r="AA341">
        <v>279.61680000000001</v>
      </c>
      <c r="AB341">
        <v>276.84050000000002</v>
      </c>
      <c r="AC341">
        <v>269.29750000000001</v>
      </c>
      <c r="AD341">
        <v>-4.2816280000000004</v>
      </c>
      <c r="AE341">
        <v>-4.2832160000000004</v>
      </c>
      <c r="AF341">
        <v>-3.515882</v>
      </c>
      <c r="AG341">
        <v>-3.799928</v>
      </c>
      <c r="AH341">
        <v>-3.6591909999999999</v>
      </c>
      <c r="AI341">
        <v>-2.7088890000000001</v>
      </c>
      <c r="AJ341">
        <v>-0.4474978</v>
      </c>
      <c r="AK341">
        <v>-1.055879</v>
      </c>
      <c r="AL341">
        <v>5.0088699999999999</v>
      </c>
      <c r="AM341">
        <v>7.314025</v>
      </c>
      <c r="AN341">
        <v>9.2070170000000005</v>
      </c>
      <c r="AO341">
        <v>12.76599</v>
      </c>
      <c r="AP341">
        <v>40.293460000000003</v>
      </c>
      <c r="AQ341">
        <v>44.155160000000002</v>
      </c>
      <c r="AR341">
        <v>30.696719999999999</v>
      </c>
      <c r="AS341">
        <v>25.570830000000001</v>
      </c>
      <c r="AT341">
        <v>29.346139999999998</v>
      </c>
      <c r="AU341">
        <v>30.75882</v>
      </c>
      <c r="AV341">
        <v>29.109459999999999</v>
      </c>
      <c r="AW341">
        <v>22.605989999999998</v>
      </c>
      <c r="AX341">
        <v>16.446359999999999</v>
      </c>
      <c r="AY341">
        <v>8.2350499999999993</v>
      </c>
      <c r="AZ341">
        <v>3.2711480000000002</v>
      </c>
      <c r="BA341">
        <v>1.3961920000000001</v>
      </c>
      <c r="BB341">
        <v>-3.5273159999999999</v>
      </c>
      <c r="BC341">
        <v>-3.6805629999999998</v>
      </c>
      <c r="BD341">
        <v>-2.993671</v>
      </c>
      <c r="BE341">
        <v>-3.245857</v>
      </c>
      <c r="BF341">
        <v>-3.223039</v>
      </c>
      <c r="BG341">
        <v>-2.236316</v>
      </c>
      <c r="BH341">
        <v>6.6220899999999999E-2</v>
      </c>
      <c r="BI341">
        <v>-0.43534899999999999</v>
      </c>
      <c r="BJ341">
        <v>5.6923190000000004</v>
      </c>
      <c r="BK341">
        <v>8.00746</v>
      </c>
      <c r="BL341">
        <v>9.9368160000000003</v>
      </c>
      <c r="BM341">
        <v>13.56827</v>
      </c>
      <c r="BN341">
        <v>41.277070000000002</v>
      </c>
      <c r="BO341">
        <v>45.207769999999996</v>
      </c>
      <c r="BP341">
        <v>31.715140000000002</v>
      </c>
      <c r="BQ341">
        <v>26.581410000000002</v>
      </c>
      <c r="BR341">
        <v>30.390450000000001</v>
      </c>
      <c r="BS341">
        <v>31.97128</v>
      </c>
      <c r="BT341">
        <v>30.441759999999999</v>
      </c>
      <c r="BU341">
        <v>23.868929999999999</v>
      </c>
      <c r="BV341">
        <v>17.59937</v>
      </c>
      <c r="BW341">
        <v>9.4271960000000004</v>
      </c>
      <c r="BX341">
        <v>4.5290850000000002</v>
      </c>
      <c r="BY341">
        <v>2.6261770000000002</v>
      </c>
      <c r="BZ341">
        <v>-3.004883</v>
      </c>
      <c r="CA341">
        <v>-3.2631679999999998</v>
      </c>
      <c r="CB341">
        <v>-2.6319900000000001</v>
      </c>
      <c r="CC341">
        <v>-2.8621080000000001</v>
      </c>
      <c r="CD341">
        <v>-2.9209610000000001</v>
      </c>
      <c r="CE341">
        <v>-1.909014</v>
      </c>
      <c r="CF341">
        <v>0.42202099999999998</v>
      </c>
      <c r="CG341">
        <v>-5.5716000000000003E-3</v>
      </c>
      <c r="CH341">
        <v>6.1656750000000002</v>
      </c>
      <c r="CI341">
        <v>8.4877310000000001</v>
      </c>
      <c r="CJ341">
        <v>10.442270000000001</v>
      </c>
      <c r="CK341">
        <v>14.12392</v>
      </c>
      <c r="CL341">
        <v>41.958320000000001</v>
      </c>
      <c r="CM341">
        <v>45.936810000000001</v>
      </c>
      <c r="CN341">
        <v>32.420499999999997</v>
      </c>
      <c r="CO341">
        <v>27.281330000000001</v>
      </c>
      <c r="CP341">
        <v>31.11374</v>
      </c>
      <c r="CQ341">
        <v>32.811039999999998</v>
      </c>
      <c r="CR341">
        <v>31.36449</v>
      </c>
      <c r="CS341">
        <v>24.74363</v>
      </c>
      <c r="CT341">
        <v>18.397939999999998</v>
      </c>
      <c r="CU341">
        <v>10.25287</v>
      </c>
      <c r="CV341">
        <v>5.400328</v>
      </c>
      <c r="CW341">
        <v>3.4780609999999998</v>
      </c>
      <c r="CX341">
        <v>-2.4824489999999999</v>
      </c>
      <c r="CY341">
        <v>-2.8457720000000002</v>
      </c>
      <c r="CZ341">
        <v>-2.270308</v>
      </c>
      <c r="DA341">
        <v>-2.4783599999999999</v>
      </c>
      <c r="DB341">
        <v>-2.6188829999999998</v>
      </c>
      <c r="DC341">
        <v>-1.5817110000000001</v>
      </c>
      <c r="DD341">
        <v>0.77782110000000004</v>
      </c>
      <c r="DE341">
        <v>0.42420580000000002</v>
      </c>
      <c r="DF341">
        <v>6.63903</v>
      </c>
      <c r="DG341">
        <v>8.9680020000000003</v>
      </c>
      <c r="DH341">
        <v>10.94773</v>
      </c>
      <c r="DI341">
        <v>14.67958</v>
      </c>
      <c r="DJ341">
        <v>42.639560000000003</v>
      </c>
      <c r="DK341">
        <v>46.665840000000003</v>
      </c>
      <c r="DL341">
        <v>33.12585</v>
      </c>
      <c r="DM341">
        <v>27.981249999999999</v>
      </c>
      <c r="DN341">
        <v>31.837019999999999</v>
      </c>
      <c r="DO341">
        <v>33.650790000000001</v>
      </c>
      <c r="DP341">
        <v>32.287239999999997</v>
      </c>
      <c r="DQ341">
        <v>25.61834</v>
      </c>
      <c r="DR341">
        <v>19.19651</v>
      </c>
      <c r="DS341">
        <v>11.07855</v>
      </c>
      <c r="DT341">
        <v>6.2715719999999999</v>
      </c>
      <c r="DU341">
        <v>4.3299450000000004</v>
      </c>
      <c r="DV341">
        <v>-1.728138</v>
      </c>
      <c r="DW341">
        <v>-2.2431190000000001</v>
      </c>
      <c r="DX341">
        <v>-1.7480979999999999</v>
      </c>
      <c r="DY341">
        <v>-1.9242889999999999</v>
      </c>
      <c r="DZ341">
        <v>-2.1827299999999998</v>
      </c>
      <c r="EA341">
        <v>-1.1091390000000001</v>
      </c>
      <c r="EB341">
        <v>1.2915399999999999</v>
      </c>
      <c r="EC341">
        <v>1.0447360000000001</v>
      </c>
      <c r="ED341">
        <v>7.3224799999999997</v>
      </c>
      <c r="EE341">
        <v>9.6614369999999994</v>
      </c>
      <c r="EF341">
        <v>11.677530000000001</v>
      </c>
      <c r="EG341">
        <v>15.481859999999999</v>
      </c>
      <c r="EH341">
        <v>43.623179999999998</v>
      </c>
      <c r="EI341">
        <v>47.71846</v>
      </c>
      <c r="EJ341">
        <v>34.144280000000002</v>
      </c>
      <c r="EK341">
        <v>28.991820000000001</v>
      </c>
      <c r="EL341">
        <v>32.881340000000002</v>
      </c>
      <c r="EM341">
        <v>34.863259999999997</v>
      </c>
      <c r="EN341">
        <v>33.619520000000001</v>
      </c>
      <c r="EO341">
        <v>26.88128</v>
      </c>
      <c r="EP341">
        <v>20.349530000000001</v>
      </c>
      <c r="EQ341">
        <v>12.27069</v>
      </c>
      <c r="ER341">
        <v>7.529509</v>
      </c>
      <c r="ES341">
        <v>5.5599290000000003</v>
      </c>
      <c r="ET341">
        <v>70.840230000000005</v>
      </c>
      <c r="EU341">
        <v>69.415760000000006</v>
      </c>
      <c r="EV341">
        <v>68.414670000000001</v>
      </c>
      <c r="EW341">
        <v>67.229969999999994</v>
      </c>
      <c r="EX341">
        <v>66.054060000000007</v>
      </c>
      <c r="EY341">
        <v>65.27373</v>
      </c>
      <c r="EZ341">
        <v>65.740189999999998</v>
      </c>
      <c r="FA341">
        <v>69.097430000000003</v>
      </c>
      <c r="FB341">
        <v>73.198700000000002</v>
      </c>
      <c r="FC341">
        <v>77.665049999999994</v>
      </c>
      <c r="FD341">
        <v>82.070430000000002</v>
      </c>
      <c r="FE341">
        <v>85.537629999999993</v>
      </c>
      <c r="FF341">
        <v>87.935329999999993</v>
      </c>
      <c r="FG341">
        <v>89.834850000000003</v>
      </c>
      <c r="FH341">
        <v>90.436419999999998</v>
      </c>
      <c r="FI341">
        <v>90.383030000000005</v>
      </c>
      <c r="FJ341">
        <v>90.203800000000001</v>
      </c>
      <c r="FK341">
        <v>89.247669999999999</v>
      </c>
      <c r="FL341">
        <v>86.239149999999995</v>
      </c>
      <c r="FM341">
        <v>82.828450000000004</v>
      </c>
      <c r="FN341">
        <v>79.474540000000005</v>
      </c>
      <c r="FO341">
        <v>76.736559999999997</v>
      </c>
      <c r="FP341">
        <v>74.912989999999994</v>
      </c>
      <c r="FQ341">
        <v>73.784580000000005</v>
      </c>
      <c r="FR341">
        <v>1</v>
      </c>
      <c r="FT341" s="44"/>
    </row>
    <row r="342" spans="1:176" x14ac:dyDescent="0.2">
      <c r="A342" t="s">
        <v>196</v>
      </c>
      <c r="B342" t="s">
        <v>1</v>
      </c>
      <c r="C342" s="70">
        <v>41827</v>
      </c>
      <c r="D342">
        <v>20</v>
      </c>
      <c r="E342" s="70">
        <v>249</v>
      </c>
      <c r="F342">
        <v>230.84209999999999</v>
      </c>
      <c r="G342">
        <v>229.22710000000001</v>
      </c>
      <c r="H342">
        <v>227.91229999999999</v>
      </c>
      <c r="I342">
        <v>226.35919999999999</v>
      </c>
      <c r="J342">
        <v>234.94280000000001</v>
      </c>
      <c r="K342">
        <v>245.3202</v>
      </c>
      <c r="L342">
        <v>258.48329999999999</v>
      </c>
      <c r="M342">
        <v>264.13380000000001</v>
      </c>
      <c r="N342">
        <v>273.85610000000003</v>
      </c>
      <c r="O342">
        <v>281.03879999999998</v>
      </c>
      <c r="P342">
        <v>283.84679999999997</v>
      </c>
      <c r="Q342">
        <v>285.09210000000002</v>
      </c>
      <c r="R342">
        <v>280.13560000000001</v>
      </c>
      <c r="S342">
        <v>280.58800000000002</v>
      </c>
      <c r="T342">
        <v>278.24540000000002</v>
      </c>
      <c r="U342">
        <v>267.40010000000001</v>
      </c>
      <c r="V342">
        <v>267.54289999999997</v>
      </c>
      <c r="W342">
        <v>263.05700000000002</v>
      </c>
      <c r="X342">
        <v>262.7149</v>
      </c>
      <c r="Y342">
        <v>268.88010000000003</v>
      </c>
      <c r="Z342">
        <v>273.27659999999997</v>
      </c>
      <c r="AA342">
        <v>270.7731</v>
      </c>
      <c r="AB342">
        <v>262.45659999999998</v>
      </c>
      <c r="AC342">
        <v>258.03809999999999</v>
      </c>
      <c r="AD342">
        <v>-0.72389020000000004</v>
      </c>
      <c r="AE342">
        <v>-0.64020790000000005</v>
      </c>
      <c r="AF342">
        <v>-0.32172020000000001</v>
      </c>
      <c r="AG342">
        <v>-0.92073830000000001</v>
      </c>
      <c r="AH342">
        <v>-0.26478400000000002</v>
      </c>
      <c r="AI342">
        <v>-9.0613100000000002E-2</v>
      </c>
      <c r="AJ342">
        <v>-0.12427879999999999</v>
      </c>
      <c r="AK342">
        <v>0.33550740000000001</v>
      </c>
      <c r="AL342">
        <v>6.3919599999999993E-2</v>
      </c>
      <c r="AM342">
        <v>0.40314450000000002</v>
      </c>
      <c r="AN342">
        <v>0.49386590000000002</v>
      </c>
      <c r="AO342">
        <v>3.585286</v>
      </c>
      <c r="AP342">
        <v>12.92703</v>
      </c>
      <c r="AQ342">
        <v>12.152380000000001</v>
      </c>
      <c r="AR342">
        <v>12.508850000000001</v>
      </c>
      <c r="AS342">
        <v>13.25502</v>
      </c>
      <c r="AT342">
        <v>13.51895</v>
      </c>
      <c r="AU342">
        <v>13.343249999999999</v>
      </c>
      <c r="AV342">
        <v>11.42559</v>
      </c>
      <c r="AW342">
        <v>10.831049999999999</v>
      </c>
      <c r="AX342">
        <v>5.3725490000000002</v>
      </c>
      <c r="AY342">
        <v>3.1103969999999999</v>
      </c>
      <c r="AZ342">
        <v>4.3216330000000003</v>
      </c>
      <c r="BA342">
        <v>3.928617</v>
      </c>
      <c r="BB342">
        <v>-0.50930679999999995</v>
      </c>
      <c r="BC342">
        <v>-0.44739790000000002</v>
      </c>
      <c r="BD342">
        <v>-0.1741238</v>
      </c>
      <c r="BE342">
        <v>-0.79282600000000003</v>
      </c>
      <c r="BF342">
        <v>-0.119102</v>
      </c>
      <c r="BG342">
        <v>5.6314200000000002E-2</v>
      </c>
      <c r="BH342">
        <v>2.36268E-2</v>
      </c>
      <c r="BI342">
        <v>0.49170920000000001</v>
      </c>
      <c r="BJ342">
        <v>0.25090109999999999</v>
      </c>
      <c r="BK342">
        <v>0.61535119999999999</v>
      </c>
      <c r="BL342">
        <v>0.77063490000000001</v>
      </c>
      <c r="BM342">
        <v>3.8541539999999999</v>
      </c>
      <c r="BN342">
        <v>13.19026</v>
      </c>
      <c r="BO342">
        <v>12.426080000000001</v>
      </c>
      <c r="BP342">
        <v>12.80232</v>
      </c>
      <c r="BQ342">
        <v>13.54091</v>
      </c>
      <c r="BR342">
        <v>13.779870000000001</v>
      </c>
      <c r="BS342">
        <v>13.59994</v>
      </c>
      <c r="BT342">
        <v>11.687189999999999</v>
      </c>
      <c r="BU342">
        <v>11.08953</v>
      </c>
      <c r="BV342">
        <v>5.6589859999999996</v>
      </c>
      <c r="BW342">
        <v>3.419387</v>
      </c>
      <c r="BX342">
        <v>4.6503009999999998</v>
      </c>
      <c r="BY342">
        <v>4.2526330000000003</v>
      </c>
      <c r="BZ342">
        <v>-0.36068699999999998</v>
      </c>
      <c r="CA342">
        <v>-0.31385829999999998</v>
      </c>
      <c r="CB342">
        <v>-7.1898900000000002E-2</v>
      </c>
      <c r="CC342">
        <v>-0.70423429999999998</v>
      </c>
      <c r="CD342">
        <v>-1.82031E-2</v>
      </c>
      <c r="CE342">
        <v>0.15807550000000001</v>
      </c>
      <c r="CF342">
        <v>0.1260657</v>
      </c>
      <c r="CG342">
        <v>0.59989400000000004</v>
      </c>
      <c r="CH342">
        <v>0.38040400000000002</v>
      </c>
      <c r="CI342">
        <v>0.76232489999999997</v>
      </c>
      <c r="CJ342">
        <v>0.96232430000000002</v>
      </c>
      <c r="CK342">
        <v>4.0403710000000004</v>
      </c>
      <c r="CL342">
        <v>13.37257</v>
      </c>
      <c r="CM342">
        <v>12.615640000000001</v>
      </c>
      <c r="CN342">
        <v>13.00558</v>
      </c>
      <c r="CO342">
        <v>13.73892</v>
      </c>
      <c r="CP342">
        <v>13.96058</v>
      </c>
      <c r="CQ342">
        <v>13.77772</v>
      </c>
      <c r="CR342">
        <v>11.868370000000001</v>
      </c>
      <c r="CS342">
        <v>11.268549999999999</v>
      </c>
      <c r="CT342">
        <v>5.8573719999999998</v>
      </c>
      <c r="CU342">
        <v>3.6333920000000002</v>
      </c>
      <c r="CV342">
        <v>4.8779349999999999</v>
      </c>
      <c r="CW342">
        <v>4.4770459999999996</v>
      </c>
      <c r="CX342">
        <v>-0.21206710000000001</v>
      </c>
      <c r="CY342">
        <v>-0.1803186</v>
      </c>
      <c r="CZ342">
        <v>3.0325899999999999E-2</v>
      </c>
      <c r="DA342">
        <v>-0.61564260000000004</v>
      </c>
      <c r="DB342">
        <v>8.2695900000000003E-2</v>
      </c>
      <c r="DC342">
        <v>0.25983689999999998</v>
      </c>
      <c r="DD342">
        <v>0.22850470000000001</v>
      </c>
      <c r="DE342">
        <v>0.70807889999999996</v>
      </c>
      <c r="DF342">
        <v>0.50990679999999999</v>
      </c>
      <c r="DG342">
        <v>0.90929870000000002</v>
      </c>
      <c r="DH342">
        <v>1.1540140000000001</v>
      </c>
      <c r="DI342">
        <v>4.2265889999999997</v>
      </c>
      <c r="DJ342">
        <v>13.554880000000001</v>
      </c>
      <c r="DK342">
        <v>12.805210000000001</v>
      </c>
      <c r="DL342">
        <v>13.208830000000001</v>
      </c>
      <c r="DM342">
        <v>13.93693</v>
      </c>
      <c r="DN342">
        <v>14.14129</v>
      </c>
      <c r="DO342">
        <v>13.955500000000001</v>
      </c>
      <c r="DP342">
        <v>12.04955</v>
      </c>
      <c r="DQ342">
        <v>11.447570000000001</v>
      </c>
      <c r="DR342">
        <v>6.055758</v>
      </c>
      <c r="DS342">
        <v>3.8473980000000001</v>
      </c>
      <c r="DT342">
        <v>5.1055700000000002</v>
      </c>
      <c r="DU342">
        <v>4.7014579999999997</v>
      </c>
      <c r="DV342">
        <v>2.5163E-3</v>
      </c>
      <c r="DW342">
        <v>1.24914E-2</v>
      </c>
      <c r="DX342">
        <v>0.17792240000000001</v>
      </c>
      <c r="DY342">
        <v>-0.48773030000000001</v>
      </c>
      <c r="DZ342">
        <v>0.22837789999999999</v>
      </c>
      <c r="EA342">
        <v>0.40676410000000002</v>
      </c>
      <c r="EB342">
        <v>0.37641029999999998</v>
      </c>
      <c r="EC342">
        <v>0.86428059999999995</v>
      </c>
      <c r="ED342">
        <v>0.69688830000000002</v>
      </c>
      <c r="EE342">
        <v>1.121505</v>
      </c>
      <c r="EF342">
        <v>1.4307829999999999</v>
      </c>
      <c r="EG342">
        <v>4.495457</v>
      </c>
      <c r="EH342">
        <v>13.818110000000001</v>
      </c>
      <c r="EI342">
        <v>13.07891</v>
      </c>
      <c r="EJ342">
        <v>13.50231</v>
      </c>
      <c r="EK342">
        <v>14.22282</v>
      </c>
      <c r="EL342">
        <v>14.402200000000001</v>
      </c>
      <c r="EM342">
        <v>14.21219</v>
      </c>
      <c r="EN342">
        <v>12.31115</v>
      </c>
      <c r="EO342">
        <v>11.706049999999999</v>
      </c>
      <c r="EP342">
        <v>6.3421950000000002</v>
      </c>
      <c r="EQ342">
        <v>4.1563869999999996</v>
      </c>
      <c r="ER342">
        <v>5.4342379999999997</v>
      </c>
      <c r="ES342">
        <v>5.025474</v>
      </c>
      <c r="ET342">
        <v>68.776269999999997</v>
      </c>
      <c r="EU342">
        <v>67.467640000000003</v>
      </c>
      <c r="EV342">
        <v>66.216070000000002</v>
      </c>
      <c r="EW342">
        <v>65.386830000000003</v>
      </c>
      <c r="EX342">
        <v>64.878900000000002</v>
      </c>
      <c r="EY342">
        <v>64.275779999999997</v>
      </c>
      <c r="EZ342">
        <v>64.069599999999994</v>
      </c>
      <c r="FA342">
        <v>65.584779999999995</v>
      </c>
      <c r="FB342">
        <v>68.418719999999993</v>
      </c>
      <c r="FC342">
        <v>72.340109999999996</v>
      </c>
      <c r="FD342">
        <v>75.375950000000003</v>
      </c>
      <c r="FE342">
        <v>76.966620000000006</v>
      </c>
      <c r="FF342">
        <v>79.867800000000003</v>
      </c>
      <c r="FG342">
        <v>82.041970000000006</v>
      </c>
      <c r="FH342">
        <v>82.977969999999999</v>
      </c>
      <c r="FI342">
        <v>82.67062</v>
      </c>
      <c r="FJ342">
        <v>83.678510000000003</v>
      </c>
      <c r="FK342">
        <v>83.977249999999998</v>
      </c>
      <c r="FL342">
        <v>82.677719999999994</v>
      </c>
      <c r="FM342">
        <v>80.406829999999999</v>
      </c>
      <c r="FN342">
        <v>77.207340000000002</v>
      </c>
      <c r="FO342">
        <v>74.359700000000004</v>
      </c>
      <c r="FP342">
        <v>72.552220000000005</v>
      </c>
      <c r="FQ342">
        <v>71.193190000000001</v>
      </c>
      <c r="FR342">
        <v>1</v>
      </c>
      <c r="FT342" s="44"/>
    </row>
    <row r="343" spans="1:176" x14ac:dyDescent="0.2">
      <c r="A343" t="s">
        <v>196</v>
      </c>
      <c r="B343" t="s">
        <v>1</v>
      </c>
      <c r="C343" s="70">
        <v>41834</v>
      </c>
      <c r="D343">
        <v>0</v>
      </c>
      <c r="E343" s="70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T343" s="44"/>
    </row>
    <row r="344" spans="1:176" x14ac:dyDescent="0.2">
      <c r="A344" t="s">
        <v>196</v>
      </c>
      <c r="B344" t="s">
        <v>1</v>
      </c>
      <c r="C344" s="70">
        <v>41848</v>
      </c>
      <c r="D344">
        <v>23</v>
      </c>
      <c r="E344" s="70">
        <v>249</v>
      </c>
      <c r="F344">
        <v>260.15989999999999</v>
      </c>
      <c r="G344">
        <v>256.27159999999998</v>
      </c>
      <c r="H344">
        <v>259.70269999999999</v>
      </c>
      <c r="I344">
        <v>262.56729999999999</v>
      </c>
      <c r="J344">
        <v>264.49009999999998</v>
      </c>
      <c r="K344">
        <v>276.47039999999998</v>
      </c>
      <c r="L344">
        <v>291.62540000000001</v>
      </c>
      <c r="M344">
        <v>300.74220000000003</v>
      </c>
      <c r="N344">
        <v>305.16849999999999</v>
      </c>
      <c r="O344">
        <v>309.82490000000001</v>
      </c>
      <c r="P344">
        <v>313.78559999999999</v>
      </c>
      <c r="Q344">
        <v>317.65269999999998</v>
      </c>
      <c r="R344">
        <v>314.6454</v>
      </c>
      <c r="S344">
        <v>319.14109999999999</v>
      </c>
      <c r="T344">
        <v>318.72649999999999</v>
      </c>
      <c r="U344">
        <v>313.38290000000001</v>
      </c>
      <c r="V344">
        <v>306.50700000000001</v>
      </c>
      <c r="W344">
        <v>302.89159999999998</v>
      </c>
      <c r="X344">
        <v>304.85950000000003</v>
      </c>
      <c r="Y344">
        <v>305.82240000000002</v>
      </c>
      <c r="Z344">
        <v>305.70440000000002</v>
      </c>
      <c r="AA344">
        <v>304.51499999999999</v>
      </c>
      <c r="AB344">
        <v>296.8931</v>
      </c>
      <c r="AC344">
        <v>292.01929999999999</v>
      </c>
      <c r="AD344">
        <v>1.1736599999999999</v>
      </c>
      <c r="AE344">
        <v>0.31209199999999998</v>
      </c>
      <c r="AF344">
        <v>-1.3969579999999999</v>
      </c>
      <c r="AG344">
        <v>-0.63991189999999998</v>
      </c>
      <c r="AH344">
        <v>-1.032178</v>
      </c>
      <c r="AI344">
        <v>-1.338454</v>
      </c>
      <c r="AJ344">
        <v>-1.8480129999999999</v>
      </c>
      <c r="AK344">
        <v>0.19938220000000001</v>
      </c>
      <c r="AL344">
        <v>-1.56925</v>
      </c>
      <c r="AM344">
        <v>-3.8853800000000001</v>
      </c>
      <c r="AN344">
        <v>-2.017782</v>
      </c>
      <c r="AO344">
        <v>4.2427099999999998</v>
      </c>
      <c r="AP344">
        <v>25.155380000000001</v>
      </c>
      <c r="AQ344">
        <v>23.81879</v>
      </c>
      <c r="AR344">
        <v>20.716950000000001</v>
      </c>
      <c r="AS344">
        <v>19.761559999999999</v>
      </c>
      <c r="AT344">
        <v>19.527229999999999</v>
      </c>
      <c r="AU344">
        <v>19.56861</v>
      </c>
      <c r="AV344">
        <v>19.487469999999998</v>
      </c>
      <c r="AW344">
        <v>17.670750000000002</v>
      </c>
      <c r="AX344">
        <v>12.320679999999999</v>
      </c>
      <c r="AY344">
        <v>1.6978340000000001</v>
      </c>
      <c r="AZ344">
        <v>2.115729</v>
      </c>
      <c r="BA344">
        <v>0.91751499999999997</v>
      </c>
      <c r="BB344">
        <v>1.971732</v>
      </c>
      <c r="BC344">
        <v>0.87240640000000003</v>
      </c>
      <c r="BD344">
        <v>-0.89943010000000001</v>
      </c>
      <c r="BE344">
        <v>-0.1558215</v>
      </c>
      <c r="BF344">
        <v>-0.61670510000000001</v>
      </c>
      <c r="BG344">
        <v>-0.88551380000000002</v>
      </c>
      <c r="BH344">
        <v>-1.3622840000000001</v>
      </c>
      <c r="BI344">
        <v>0.76608560000000003</v>
      </c>
      <c r="BJ344">
        <v>-0.98730359999999995</v>
      </c>
      <c r="BK344">
        <v>-3.3307410000000002</v>
      </c>
      <c r="BL344">
        <v>-1.418968</v>
      </c>
      <c r="BM344">
        <v>4.8910879999999999</v>
      </c>
      <c r="BN344">
        <v>25.942879999999999</v>
      </c>
      <c r="BO344">
        <v>24.670860000000001</v>
      </c>
      <c r="BP344">
        <v>21.630310000000001</v>
      </c>
      <c r="BQ344">
        <v>20.678920000000002</v>
      </c>
      <c r="BR344">
        <v>20.435400000000001</v>
      </c>
      <c r="BS344">
        <v>20.607749999999999</v>
      </c>
      <c r="BT344">
        <v>20.5106</v>
      </c>
      <c r="BU344">
        <v>18.624310000000001</v>
      </c>
      <c r="BV344">
        <v>13.335419999999999</v>
      </c>
      <c r="BW344">
        <v>2.737015</v>
      </c>
      <c r="BX344">
        <v>3.1982469999999998</v>
      </c>
      <c r="BY344">
        <v>1.9789300000000001</v>
      </c>
      <c r="BZ344">
        <v>2.5244740000000001</v>
      </c>
      <c r="CA344">
        <v>1.260478</v>
      </c>
      <c r="CB344">
        <v>-0.55484389999999995</v>
      </c>
      <c r="CC344">
        <v>0.17945810000000001</v>
      </c>
      <c r="CD344">
        <v>-0.32894980000000001</v>
      </c>
      <c r="CE344">
        <v>-0.57180869999999995</v>
      </c>
      <c r="CF344">
        <v>-1.0258689999999999</v>
      </c>
      <c r="CG344">
        <v>1.1585829999999999</v>
      </c>
      <c r="CH344">
        <v>-0.58424900000000002</v>
      </c>
      <c r="CI344">
        <v>-2.9466000000000001</v>
      </c>
      <c r="CJ344">
        <v>-1.0042310000000001</v>
      </c>
      <c r="CK344">
        <v>5.3401529999999999</v>
      </c>
      <c r="CL344">
        <v>26.488299999999999</v>
      </c>
      <c r="CM344">
        <v>25.261009999999999</v>
      </c>
      <c r="CN344">
        <v>22.262899999999998</v>
      </c>
      <c r="CO344">
        <v>21.31428</v>
      </c>
      <c r="CP344">
        <v>21.06439</v>
      </c>
      <c r="CQ344">
        <v>21.327459999999999</v>
      </c>
      <c r="CR344">
        <v>21.21922</v>
      </c>
      <c r="CS344">
        <v>19.284739999999999</v>
      </c>
      <c r="CT344">
        <v>14.038220000000001</v>
      </c>
      <c r="CU344">
        <v>3.4567489999999998</v>
      </c>
      <c r="CV344">
        <v>3.9479959999999998</v>
      </c>
      <c r="CW344">
        <v>2.7140629999999999</v>
      </c>
      <c r="CX344">
        <v>3.0772170000000001</v>
      </c>
      <c r="CY344">
        <v>1.6485510000000001</v>
      </c>
      <c r="CZ344">
        <v>-0.21025769999999999</v>
      </c>
      <c r="DA344">
        <v>0.51473769999999996</v>
      </c>
      <c r="DB344">
        <v>-4.1194599999999998E-2</v>
      </c>
      <c r="DC344">
        <v>-0.25810359999999999</v>
      </c>
      <c r="DD344">
        <v>-0.68945400000000001</v>
      </c>
      <c r="DE344">
        <v>1.55108</v>
      </c>
      <c r="DF344">
        <v>-0.18119450000000001</v>
      </c>
      <c r="DG344">
        <v>-2.562459</v>
      </c>
      <c r="DH344">
        <v>-0.58949459999999998</v>
      </c>
      <c r="DI344">
        <v>5.789218</v>
      </c>
      <c r="DJ344">
        <v>27.033709999999999</v>
      </c>
      <c r="DK344">
        <v>25.85116</v>
      </c>
      <c r="DL344">
        <v>22.895489999999999</v>
      </c>
      <c r="DM344">
        <v>21.949639999999999</v>
      </c>
      <c r="DN344">
        <v>21.693390000000001</v>
      </c>
      <c r="DO344">
        <v>22.047160000000002</v>
      </c>
      <c r="DP344">
        <v>21.927849999999999</v>
      </c>
      <c r="DQ344">
        <v>19.945170000000001</v>
      </c>
      <c r="DR344">
        <v>14.741020000000001</v>
      </c>
      <c r="DS344">
        <v>4.176482</v>
      </c>
      <c r="DT344">
        <v>4.6977450000000003</v>
      </c>
      <c r="DU344">
        <v>3.449195</v>
      </c>
      <c r="DV344">
        <v>3.875289</v>
      </c>
      <c r="DW344">
        <v>2.2088649999999999</v>
      </c>
      <c r="DX344">
        <v>0.28727000000000003</v>
      </c>
      <c r="DY344">
        <v>0.99882820000000005</v>
      </c>
      <c r="DZ344">
        <v>0.37427830000000001</v>
      </c>
      <c r="EA344">
        <v>0.1948366</v>
      </c>
      <c r="EB344">
        <v>-0.2037245</v>
      </c>
      <c r="EC344">
        <v>2.1177830000000002</v>
      </c>
      <c r="ED344">
        <v>0.40075230000000001</v>
      </c>
      <c r="EE344">
        <v>-2.0078209999999999</v>
      </c>
      <c r="EF344">
        <v>9.3191999999999997E-3</v>
      </c>
      <c r="EG344">
        <v>6.4375970000000002</v>
      </c>
      <c r="EH344">
        <v>27.821210000000001</v>
      </c>
      <c r="EI344">
        <v>26.703240000000001</v>
      </c>
      <c r="EJ344">
        <v>23.808859999999999</v>
      </c>
      <c r="EK344">
        <v>22.867000000000001</v>
      </c>
      <c r="EL344">
        <v>22.601559999999999</v>
      </c>
      <c r="EM344">
        <v>23.086300000000001</v>
      </c>
      <c r="EN344">
        <v>22.950980000000001</v>
      </c>
      <c r="EO344">
        <v>20.898720000000001</v>
      </c>
      <c r="EP344">
        <v>15.755750000000001</v>
      </c>
      <c r="EQ344">
        <v>5.2156630000000002</v>
      </c>
      <c r="ER344">
        <v>5.7802629999999997</v>
      </c>
      <c r="ES344">
        <v>4.5106099999999998</v>
      </c>
      <c r="ET344">
        <v>71.763180000000006</v>
      </c>
      <c r="EU344">
        <v>70.628360000000001</v>
      </c>
      <c r="EV344">
        <v>69.508030000000005</v>
      </c>
      <c r="EW344">
        <v>68.348560000000006</v>
      </c>
      <c r="EX344">
        <v>67.316310000000001</v>
      </c>
      <c r="EY344">
        <v>66.924350000000004</v>
      </c>
      <c r="EZ344">
        <v>66.792320000000004</v>
      </c>
      <c r="FA344">
        <v>67.585400000000007</v>
      </c>
      <c r="FB344">
        <v>70.556970000000007</v>
      </c>
      <c r="FC344">
        <v>73.573880000000003</v>
      </c>
      <c r="FD344">
        <v>76.9863</v>
      </c>
      <c r="FE344">
        <v>80.567629999999994</v>
      </c>
      <c r="FF344">
        <v>82.922520000000006</v>
      </c>
      <c r="FG344">
        <v>84.857280000000003</v>
      </c>
      <c r="FH344">
        <v>85.768360000000001</v>
      </c>
      <c r="FI344">
        <v>86.436319999999995</v>
      </c>
      <c r="FJ344">
        <v>85.720020000000005</v>
      </c>
      <c r="FK344">
        <v>84.720050000000001</v>
      </c>
      <c r="FL344">
        <v>82.692809999999994</v>
      </c>
      <c r="FM344">
        <v>80.079449999999994</v>
      </c>
      <c r="FN344">
        <v>77.369389999999996</v>
      </c>
      <c r="FO344">
        <v>75.585239999999999</v>
      </c>
      <c r="FP344">
        <v>74.208609999999993</v>
      </c>
      <c r="FQ344">
        <v>72.899659999999997</v>
      </c>
      <c r="FR344">
        <v>1</v>
      </c>
      <c r="FT344" s="44"/>
    </row>
    <row r="345" spans="1:176" x14ac:dyDescent="0.2">
      <c r="A345" t="s">
        <v>196</v>
      </c>
      <c r="B345" t="s">
        <v>1</v>
      </c>
      <c r="C345" s="70">
        <v>41849</v>
      </c>
      <c r="D345">
        <v>21</v>
      </c>
      <c r="E345" s="70">
        <v>249</v>
      </c>
      <c r="F345">
        <v>287.67200000000003</v>
      </c>
      <c r="G345">
        <v>279.1635</v>
      </c>
      <c r="H345">
        <v>274.49259999999998</v>
      </c>
      <c r="I345">
        <v>272.97120000000001</v>
      </c>
      <c r="J345">
        <v>280.54480000000001</v>
      </c>
      <c r="K345">
        <v>294.06009999999998</v>
      </c>
      <c r="L345">
        <v>311.14449999999999</v>
      </c>
      <c r="M345">
        <v>315.10509999999999</v>
      </c>
      <c r="N345">
        <v>312.56279999999998</v>
      </c>
      <c r="O345">
        <v>320.43150000000003</v>
      </c>
      <c r="P345">
        <v>323.86989999999997</v>
      </c>
      <c r="Q345">
        <v>323.04070000000002</v>
      </c>
      <c r="R345">
        <v>316.81920000000002</v>
      </c>
      <c r="S345">
        <v>318.40469999999999</v>
      </c>
      <c r="T345">
        <v>310.14249999999998</v>
      </c>
      <c r="U345">
        <v>296.42919999999998</v>
      </c>
      <c r="V345">
        <v>297.92380000000003</v>
      </c>
      <c r="W345">
        <v>294.66489999999999</v>
      </c>
      <c r="X345">
        <v>297.34010000000001</v>
      </c>
      <c r="Y345">
        <v>297.00400000000002</v>
      </c>
      <c r="Z345">
        <v>301.11579999999998</v>
      </c>
      <c r="AA345">
        <v>305.66809999999998</v>
      </c>
      <c r="AB345">
        <v>304.96510000000001</v>
      </c>
      <c r="AC345">
        <v>298.32859999999999</v>
      </c>
      <c r="AD345">
        <v>4.0399719999999997</v>
      </c>
      <c r="AE345">
        <v>2.4547500000000002</v>
      </c>
      <c r="AF345">
        <v>1.6126720000000001</v>
      </c>
      <c r="AG345">
        <v>1.3022830000000001</v>
      </c>
      <c r="AH345">
        <v>3.6274199999999999E-2</v>
      </c>
      <c r="AI345">
        <v>-1.90761</v>
      </c>
      <c r="AJ345">
        <v>-3.7919339999999999</v>
      </c>
      <c r="AK345">
        <v>-3.0985819999999999</v>
      </c>
      <c r="AL345">
        <v>-2.1014560000000002</v>
      </c>
      <c r="AM345">
        <v>-2.6534559999999998</v>
      </c>
      <c r="AN345">
        <v>-2.2376469999999999</v>
      </c>
      <c r="AO345">
        <v>2.664418</v>
      </c>
      <c r="AP345">
        <v>13.466390000000001</v>
      </c>
      <c r="AQ345">
        <v>14.48442</v>
      </c>
      <c r="AR345">
        <v>15.20285</v>
      </c>
      <c r="AS345">
        <v>15.84853</v>
      </c>
      <c r="AT345">
        <v>15.5787</v>
      </c>
      <c r="AU345">
        <v>12.721539999999999</v>
      </c>
      <c r="AV345">
        <v>11.718260000000001</v>
      </c>
      <c r="AW345">
        <v>11.439679999999999</v>
      </c>
      <c r="AX345">
        <v>6.7630619999999997</v>
      </c>
      <c r="AY345">
        <v>6.0110679999999999</v>
      </c>
      <c r="AZ345">
        <v>6.0274470000000004</v>
      </c>
      <c r="BA345">
        <v>5.8746840000000002</v>
      </c>
      <c r="BB345">
        <v>4.414301</v>
      </c>
      <c r="BC345">
        <v>2.809752</v>
      </c>
      <c r="BD345">
        <v>1.8506320000000001</v>
      </c>
      <c r="BE345">
        <v>1.4891669999999999</v>
      </c>
      <c r="BF345">
        <v>0.27023770000000003</v>
      </c>
      <c r="BG345">
        <v>-1.650898</v>
      </c>
      <c r="BH345">
        <v>-3.533096</v>
      </c>
      <c r="BI345">
        <v>-2.8681860000000001</v>
      </c>
      <c r="BJ345">
        <v>-1.8760330000000001</v>
      </c>
      <c r="BK345">
        <v>-2.4157320000000002</v>
      </c>
      <c r="BL345">
        <v>-1.9610019999999999</v>
      </c>
      <c r="BM345">
        <v>2.9402689999999998</v>
      </c>
      <c r="BN345">
        <v>13.848470000000001</v>
      </c>
      <c r="BO345">
        <v>14.772040000000001</v>
      </c>
      <c r="BP345">
        <v>15.46686</v>
      </c>
      <c r="BQ345">
        <v>16.1127</v>
      </c>
      <c r="BR345">
        <v>15.84238</v>
      </c>
      <c r="BS345">
        <v>13.0037</v>
      </c>
      <c r="BT345">
        <v>12.02041</v>
      </c>
      <c r="BU345">
        <v>11.734579999999999</v>
      </c>
      <c r="BV345">
        <v>7.0803940000000001</v>
      </c>
      <c r="BW345">
        <v>6.3471570000000002</v>
      </c>
      <c r="BX345">
        <v>6.322762</v>
      </c>
      <c r="BY345">
        <v>6.1661159999999997</v>
      </c>
      <c r="BZ345">
        <v>4.6735600000000002</v>
      </c>
      <c r="CA345">
        <v>3.0556260000000002</v>
      </c>
      <c r="CB345">
        <v>2.0154429999999999</v>
      </c>
      <c r="CC345">
        <v>1.618601</v>
      </c>
      <c r="CD345">
        <v>0.4322802</v>
      </c>
      <c r="CE345">
        <v>-1.4731000000000001</v>
      </c>
      <c r="CF345">
        <v>-3.3538260000000002</v>
      </c>
      <c r="CG345">
        <v>-2.708615</v>
      </c>
      <c r="CH345">
        <v>-1.719905</v>
      </c>
      <c r="CI345">
        <v>-2.2510849999999998</v>
      </c>
      <c r="CJ345">
        <v>-1.7693989999999999</v>
      </c>
      <c r="CK345">
        <v>3.1313230000000001</v>
      </c>
      <c r="CL345">
        <v>14.11309</v>
      </c>
      <c r="CM345">
        <v>14.97124</v>
      </c>
      <c r="CN345">
        <v>15.649710000000001</v>
      </c>
      <c r="CO345">
        <v>16.295670000000001</v>
      </c>
      <c r="CP345">
        <v>16.025010000000002</v>
      </c>
      <c r="CQ345">
        <v>13.19913</v>
      </c>
      <c r="CR345">
        <v>12.22968</v>
      </c>
      <c r="CS345">
        <v>11.938829999999999</v>
      </c>
      <c r="CT345">
        <v>7.3001769999999997</v>
      </c>
      <c r="CU345">
        <v>6.5799320000000003</v>
      </c>
      <c r="CV345">
        <v>6.5272969999999999</v>
      </c>
      <c r="CW345">
        <v>6.3679600000000001</v>
      </c>
      <c r="CX345">
        <v>4.9328190000000003</v>
      </c>
      <c r="CY345">
        <v>3.3014990000000002</v>
      </c>
      <c r="CZ345">
        <v>2.1802540000000001</v>
      </c>
      <c r="DA345">
        <v>1.7480359999999999</v>
      </c>
      <c r="DB345">
        <v>0.59432260000000003</v>
      </c>
      <c r="DC345">
        <v>-1.295302</v>
      </c>
      <c r="DD345">
        <v>-3.1745549999999998</v>
      </c>
      <c r="DE345">
        <v>-2.5490439999999999</v>
      </c>
      <c r="DF345">
        <v>-1.5637779999999999</v>
      </c>
      <c r="DG345">
        <v>-2.0864370000000001</v>
      </c>
      <c r="DH345">
        <v>-1.577796</v>
      </c>
      <c r="DI345">
        <v>3.3223769999999999</v>
      </c>
      <c r="DJ345">
        <v>14.37772</v>
      </c>
      <c r="DK345">
        <v>15.170439999999999</v>
      </c>
      <c r="DL345">
        <v>15.832560000000001</v>
      </c>
      <c r="DM345">
        <v>16.478629999999999</v>
      </c>
      <c r="DN345">
        <v>16.207640000000001</v>
      </c>
      <c r="DO345">
        <v>13.394550000000001</v>
      </c>
      <c r="DP345">
        <v>12.43895</v>
      </c>
      <c r="DQ345">
        <v>12.14307</v>
      </c>
      <c r="DR345">
        <v>7.5199600000000002</v>
      </c>
      <c r="DS345">
        <v>6.8127069999999996</v>
      </c>
      <c r="DT345">
        <v>6.731833</v>
      </c>
      <c r="DU345">
        <v>6.5698040000000004</v>
      </c>
      <c r="DV345">
        <v>5.3071479999999998</v>
      </c>
      <c r="DW345">
        <v>3.6565020000000001</v>
      </c>
      <c r="DX345">
        <v>2.4182139999999999</v>
      </c>
      <c r="DY345">
        <v>1.9349190000000001</v>
      </c>
      <c r="DZ345">
        <v>0.82828610000000003</v>
      </c>
      <c r="EA345">
        <v>-1.0385899999999999</v>
      </c>
      <c r="EB345">
        <v>-2.915718</v>
      </c>
      <c r="EC345">
        <v>-2.318648</v>
      </c>
      <c r="ED345">
        <v>-1.338354</v>
      </c>
      <c r="EE345">
        <v>-1.8487130000000001</v>
      </c>
      <c r="EF345">
        <v>-1.3011509999999999</v>
      </c>
      <c r="EG345">
        <v>3.5982289999999999</v>
      </c>
      <c r="EH345">
        <v>14.7598</v>
      </c>
      <c r="EI345">
        <v>15.45805</v>
      </c>
      <c r="EJ345">
        <v>16.09657</v>
      </c>
      <c r="EK345">
        <v>16.742799999999999</v>
      </c>
      <c r="EL345">
        <v>16.471319999999999</v>
      </c>
      <c r="EM345">
        <v>13.67671</v>
      </c>
      <c r="EN345">
        <v>12.741110000000001</v>
      </c>
      <c r="EO345">
        <v>12.43797</v>
      </c>
      <c r="EP345">
        <v>7.8372919999999997</v>
      </c>
      <c r="EQ345">
        <v>7.1487959999999999</v>
      </c>
      <c r="ER345">
        <v>7.0271480000000004</v>
      </c>
      <c r="ES345">
        <v>6.8612359999999999</v>
      </c>
      <c r="ET345">
        <v>71.918270000000007</v>
      </c>
      <c r="EU345">
        <v>70.630529999999993</v>
      </c>
      <c r="EV345">
        <v>69.943489999999997</v>
      </c>
      <c r="EW345">
        <v>69.234250000000003</v>
      </c>
      <c r="EX345">
        <v>67.94708</v>
      </c>
      <c r="EY345">
        <v>66.732010000000002</v>
      </c>
      <c r="EZ345">
        <v>66.393159999999995</v>
      </c>
      <c r="FA345">
        <v>67.415499999999994</v>
      </c>
      <c r="FB345">
        <v>69.640609999999995</v>
      </c>
      <c r="FC345">
        <v>73.516270000000006</v>
      </c>
      <c r="FD345">
        <v>77.987499999999997</v>
      </c>
      <c r="FE345">
        <v>81.573130000000006</v>
      </c>
      <c r="FF345">
        <v>83.763490000000004</v>
      </c>
      <c r="FG345">
        <v>85.438649999999996</v>
      </c>
      <c r="FH345">
        <v>86.742649999999998</v>
      </c>
      <c r="FI345">
        <v>87.994470000000007</v>
      </c>
      <c r="FJ345">
        <v>88.453699999999998</v>
      </c>
      <c r="FK345">
        <v>88.117930000000001</v>
      </c>
      <c r="FL345">
        <v>86.558589999999995</v>
      </c>
      <c r="FM345">
        <v>83.384110000000007</v>
      </c>
      <c r="FN345">
        <v>79.987570000000005</v>
      </c>
      <c r="FO345">
        <v>77.262749999999997</v>
      </c>
      <c r="FP345">
        <v>75.373040000000003</v>
      </c>
      <c r="FQ345">
        <v>74.087010000000006</v>
      </c>
      <c r="FR345">
        <v>1</v>
      </c>
      <c r="FT345" s="44"/>
    </row>
    <row r="346" spans="1:176" x14ac:dyDescent="0.2">
      <c r="A346" t="s">
        <v>196</v>
      </c>
      <c r="B346" t="s">
        <v>1</v>
      </c>
      <c r="C346" s="70">
        <v>41850</v>
      </c>
      <c r="D346">
        <v>16</v>
      </c>
      <c r="E346" s="70">
        <v>249</v>
      </c>
      <c r="F346">
        <v>298.6712</v>
      </c>
      <c r="G346">
        <v>289.0573</v>
      </c>
      <c r="H346">
        <v>281.68169999999998</v>
      </c>
      <c r="I346">
        <v>279.8723</v>
      </c>
      <c r="J346">
        <v>284.3845</v>
      </c>
      <c r="K346">
        <v>292.95650000000001</v>
      </c>
      <c r="L346">
        <v>308.2011</v>
      </c>
      <c r="M346">
        <v>311.6302</v>
      </c>
      <c r="N346">
        <v>314.29079999999999</v>
      </c>
      <c r="O346">
        <v>315.66050000000001</v>
      </c>
      <c r="P346">
        <v>321.03919999999999</v>
      </c>
      <c r="Q346">
        <v>323.98660000000001</v>
      </c>
      <c r="R346">
        <v>316.68970000000002</v>
      </c>
      <c r="S346">
        <v>318.71629999999999</v>
      </c>
      <c r="T346">
        <v>315.79289999999997</v>
      </c>
      <c r="U346">
        <v>311.25720000000001</v>
      </c>
      <c r="V346">
        <v>309.01299999999998</v>
      </c>
      <c r="W346">
        <v>307.35320000000002</v>
      </c>
      <c r="X346">
        <v>309.69080000000002</v>
      </c>
      <c r="Y346">
        <v>313.4212</v>
      </c>
      <c r="Z346">
        <v>315.78269999999998</v>
      </c>
      <c r="AA346">
        <v>317.53230000000002</v>
      </c>
      <c r="AB346">
        <v>309.42610000000002</v>
      </c>
      <c r="AC346">
        <v>303.47280000000001</v>
      </c>
      <c r="AD346">
        <v>4.9476820000000004</v>
      </c>
      <c r="AE346">
        <v>-1.353334</v>
      </c>
      <c r="AF346">
        <v>-1.74535</v>
      </c>
      <c r="AG346">
        <v>-0.6612595</v>
      </c>
      <c r="AH346">
        <v>-0.6332335</v>
      </c>
      <c r="AI346">
        <v>-0.80891100000000005</v>
      </c>
      <c r="AJ346">
        <v>0.16305049999999999</v>
      </c>
      <c r="AK346">
        <v>-1.249207</v>
      </c>
      <c r="AL346">
        <v>-1.018437</v>
      </c>
      <c r="AM346">
        <v>-0.63638320000000004</v>
      </c>
      <c r="AN346">
        <v>1.2479229999999999</v>
      </c>
      <c r="AO346">
        <v>7.6918610000000003</v>
      </c>
      <c r="AP346">
        <v>15.669750000000001</v>
      </c>
      <c r="AQ346">
        <v>15.13617</v>
      </c>
      <c r="AR346">
        <v>14.70185</v>
      </c>
      <c r="AS346">
        <v>17.280999999999999</v>
      </c>
      <c r="AT346">
        <v>16.745760000000001</v>
      </c>
      <c r="AU346">
        <v>15.82091</v>
      </c>
      <c r="AV346">
        <v>16.454409999999999</v>
      </c>
      <c r="AW346">
        <v>16.741790000000002</v>
      </c>
      <c r="AX346">
        <v>10.54317</v>
      </c>
      <c r="AY346">
        <v>4.4526529999999998</v>
      </c>
      <c r="AZ346">
        <v>1.8276950000000001</v>
      </c>
      <c r="BA346">
        <v>2.5656059999999998</v>
      </c>
      <c r="BB346">
        <v>5.6066940000000001</v>
      </c>
      <c r="BC346">
        <v>-0.80353609999999998</v>
      </c>
      <c r="BD346">
        <v>-1.274543</v>
      </c>
      <c r="BE346">
        <v>-0.28921239999999998</v>
      </c>
      <c r="BF346">
        <v>-0.26179750000000002</v>
      </c>
      <c r="BG346">
        <v>-0.39078089999999999</v>
      </c>
      <c r="BH346">
        <v>0.55931439999999999</v>
      </c>
      <c r="BI346">
        <v>-0.81322139999999998</v>
      </c>
      <c r="BJ346">
        <v>-0.58787040000000002</v>
      </c>
      <c r="BK346">
        <v>-0.20835380000000001</v>
      </c>
      <c r="BL346">
        <v>1.70597</v>
      </c>
      <c r="BM346">
        <v>8.1818080000000002</v>
      </c>
      <c r="BN346">
        <v>16.228529999999999</v>
      </c>
      <c r="BO346">
        <v>15.74457</v>
      </c>
      <c r="BP346">
        <v>15.326140000000001</v>
      </c>
      <c r="BQ346">
        <v>17.914000000000001</v>
      </c>
      <c r="BR346">
        <v>17.406400000000001</v>
      </c>
      <c r="BS346">
        <v>16.540369999999999</v>
      </c>
      <c r="BT346">
        <v>17.203330000000001</v>
      </c>
      <c r="BU346">
        <v>17.465979999999998</v>
      </c>
      <c r="BV346">
        <v>11.252890000000001</v>
      </c>
      <c r="BW346">
        <v>5.1617689999999996</v>
      </c>
      <c r="BX346">
        <v>2.6021920000000001</v>
      </c>
      <c r="BY346">
        <v>3.398396</v>
      </c>
      <c r="BZ346">
        <v>6.0631240000000002</v>
      </c>
      <c r="CA346">
        <v>-0.4227476</v>
      </c>
      <c r="CB346">
        <v>-0.94846280000000005</v>
      </c>
      <c r="CC346">
        <v>-3.1533699999999998E-2</v>
      </c>
      <c r="CD346">
        <v>-4.5421999999999997E-3</v>
      </c>
      <c r="CE346">
        <v>-0.10118530000000001</v>
      </c>
      <c r="CF346">
        <v>0.8337656</v>
      </c>
      <c r="CG346">
        <v>-0.51125929999999997</v>
      </c>
      <c r="CH346">
        <v>-0.28966160000000002</v>
      </c>
      <c r="CI346">
        <v>8.8097999999999996E-2</v>
      </c>
      <c r="CJ346">
        <v>2.023212</v>
      </c>
      <c r="CK346">
        <v>8.5211430000000004</v>
      </c>
      <c r="CL346">
        <v>16.615549999999999</v>
      </c>
      <c r="CM346">
        <v>16.165939999999999</v>
      </c>
      <c r="CN346">
        <v>15.758520000000001</v>
      </c>
      <c r="CO346">
        <v>18.352409999999999</v>
      </c>
      <c r="CP346">
        <v>17.863969999999998</v>
      </c>
      <c r="CQ346">
        <v>17.03867</v>
      </c>
      <c r="CR346">
        <v>17.722020000000001</v>
      </c>
      <c r="CS346">
        <v>17.967559999999999</v>
      </c>
      <c r="CT346">
        <v>11.744440000000001</v>
      </c>
      <c r="CU346">
        <v>5.6528999999999998</v>
      </c>
      <c r="CV346">
        <v>3.1386069999999999</v>
      </c>
      <c r="CW346">
        <v>3.9751829999999999</v>
      </c>
      <c r="CX346">
        <v>6.5195540000000003</v>
      </c>
      <c r="CY346">
        <v>-4.1959099999999999E-2</v>
      </c>
      <c r="CZ346">
        <v>-0.62238309999999997</v>
      </c>
      <c r="DA346">
        <v>0.22614509999999999</v>
      </c>
      <c r="DB346">
        <v>0.25271320000000003</v>
      </c>
      <c r="DC346">
        <v>0.1884103</v>
      </c>
      <c r="DD346">
        <v>1.108217</v>
      </c>
      <c r="DE346">
        <v>-0.20929710000000001</v>
      </c>
      <c r="DF346">
        <v>8.5471999999999996E-3</v>
      </c>
      <c r="DG346">
        <v>0.3845498</v>
      </c>
      <c r="DH346">
        <v>2.340455</v>
      </c>
      <c r="DI346">
        <v>8.8604780000000005</v>
      </c>
      <c r="DJ346">
        <v>17.002559999999999</v>
      </c>
      <c r="DK346">
        <v>16.587309999999999</v>
      </c>
      <c r="DL346">
        <v>16.190899999999999</v>
      </c>
      <c r="DM346">
        <v>18.79082</v>
      </c>
      <c r="DN346">
        <v>18.321529999999999</v>
      </c>
      <c r="DO346">
        <v>17.536960000000001</v>
      </c>
      <c r="DP346">
        <v>18.24072</v>
      </c>
      <c r="DQ346">
        <v>18.46913</v>
      </c>
      <c r="DR346">
        <v>12.235989999999999</v>
      </c>
      <c r="DS346">
        <v>6.1440320000000002</v>
      </c>
      <c r="DT346">
        <v>3.6750210000000001</v>
      </c>
      <c r="DU346">
        <v>4.5519699999999998</v>
      </c>
      <c r="DV346">
        <v>7.178566</v>
      </c>
      <c r="DW346">
        <v>0.50783909999999999</v>
      </c>
      <c r="DX346">
        <v>-0.15157570000000001</v>
      </c>
      <c r="DY346">
        <v>0.59819219999999995</v>
      </c>
      <c r="DZ346">
        <v>0.62414919999999996</v>
      </c>
      <c r="EA346">
        <v>0.60654030000000003</v>
      </c>
      <c r="EB346">
        <v>1.504481</v>
      </c>
      <c r="EC346">
        <v>0.22668830000000001</v>
      </c>
      <c r="ED346">
        <v>0.43911329999999998</v>
      </c>
      <c r="EE346">
        <v>0.81257919999999995</v>
      </c>
      <c r="EF346">
        <v>2.798502</v>
      </c>
      <c r="EG346">
        <v>9.3504249999999995</v>
      </c>
      <c r="EH346">
        <v>17.561340000000001</v>
      </c>
      <c r="EI346">
        <v>17.195709999999998</v>
      </c>
      <c r="EJ346">
        <v>16.815190000000001</v>
      </c>
      <c r="EK346">
        <v>19.42381</v>
      </c>
      <c r="EL346">
        <v>18.98218</v>
      </c>
      <c r="EM346">
        <v>18.256430000000002</v>
      </c>
      <c r="EN346">
        <v>18.989629999999998</v>
      </c>
      <c r="EO346">
        <v>19.19332</v>
      </c>
      <c r="EP346">
        <v>12.94571</v>
      </c>
      <c r="EQ346">
        <v>6.853148</v>
      </c>
      <c r="ER346">
        <v>4.4495180000000003</v>
      </c>
      <c r="ES346">
        <v>5.3847589999999999</v>
      </c>
      <c r="ET346">
        <v>72.693820000000002</v>
      </c>
      <c r="EU346">
        <v>70.943119999999993</v>
      </c>
      <c r="EV346">
        <v>70.022859999999994</v>
      </c>
      <c r="EW346">
        <v>69.2714</v>
      </c>
      <c r="EX346">
        <v>68.224010000000007</v>
      </c>
      <c r="EY346">
        <v>67.682580000000002</v>
      </c>
      <c r="EZ346">
        <v>67.377030000000005</v>
      </c>
      <c r="FA346">
        <v>68.388819999999996</v>
      </c>
      <c r="FB346">
        <v>70.652690000000007</v>
      </c>
      <c r="FC346">
        <v>74.087320000000005</v>
      </c>
      <c r="FD346">
        <v>77.73348</v>
      </c>
      <c r="FE346">
        <v>80.246740000000003</v>
      </c>
      <c r="FF346">
        <v>82.791439999999994</v>
      </c>
      <c r="FG346">
        <v>84.659540000000007</v>
      </c>
      <c r="FH346">
        <v>86.002089999999995</v>
      </c>
      <c r="FI346">
        <v>87.488169999999997</v>
      </c>
      <c r="FJ346">
        <v>88.111630000000005</v>
      </c>
      <c r="FK346">
        <v>87.486580000000004</v>
      </c>
      <c r="FL346">
        <v>86.064080000000004</v>
      </c>
      <c r="FM346">
        <v>83.289689999999993</v>
      </c>
      <c r="FN346">
        <v>79.816540000000003</v>
      </c>
      <c r="FO346">
        <v>77.309600000000003</v>
      </c>
      <c r="FP346">
        <v>74.912149999999997</v>
      </c>
      <c r="FQ346">
        <v>72.853930000000005</v>
      </c>
      <c r="FR346">
        <v>1</v>
      </c>
      <c r="FT346" s="44"/>
    </row>
    <row r="347" spans="1:176" x14ac:dyDescent="0.2">
      <c r="A347" t="s">
        <v>196</v>
      </c>
      <c r="B347" t="s">
        <v>1</v>
      </c>
      <c r="C347" s="70">
        <v>41851</v>
      </c>
      <c r="D347">
        <v>17</v>
      </c>
      <c r="E347" s="70">
        <v>247</v>
      </c>
      <c r="F347">
        <v>296.87200000000001</v>
      </c>
      <c r="G347">
        <v>290.66180000000003</v>
      </c>
      <c r="H347">
        <v>285.2099</v>
      </c>
      <c r="I347">
        <v>283.05470000000003</v>
      </c>
      <c r="J347">
        <v>289.74979999999999</v>
      </c>
      <c r="K347">
        <v>299.60509999999999</v>
      </c>
      <c r="L347">
        <v>313.86070000000001</v>
      </c>
      <c r="M347">
        <v>321.58999999999997</v>
      </c>
      <c r="N347">
        <v>325.61200000000002</v>
      </c>
      <c r="O347">
        <v>327.90629999999999</v>
      </c>
      <c r="P347">
        <v>328.50400000000002</v>
      </c>
      <c r="Q347">
        <v>331.9024</v>
      </c>
      <c r="R347">
        <v>327.34930000000003</v>
      </c>
      <c r="S347">
        <v>327.97660000000002</v>
      </c>
      <c r="T347">
        <v>324.72640000000001</v>
      </c>
      <c r="U347">
        <v>314.74450000000002</v>
      </c>
      <c r="V347">
        <v>311.53730000000002</v>
      </c>
      <c r="W347">
        <v>305.39580000000001</v>
      </c>
      <c r="X347">
        <v>308.13889999999998</v>
      </c>
      <c r="Y347">
        <v>310.24099999999999</v>
      </c>
      <c r="Z347">
        <v>308.2713</v>
      </c>
      <c r="AA347">
        <v>308.06360000000001</v>
      </c>
      <c r="AB347">
        <v>303.82119999999998</v>
      </c>
      <c r="AC347">
        <v>298.4477</v>
      </c>
      <c r="AD347">
        <v>9.8854200000000003E-2</v>
      </c>
      <c r="AE347">
        <v>-1.6900649999999999</v>
      </c>
      <c r="AF347">
        <v>-2.7889849999999998</v>
      </c>
      <c r="AG347">
        <v>-2.569242</v>
      </c>
      <c r="AH347">
        <v>-3.8470399999999998</v>
      </c>
      <c r="AI347">
        <v>-2.7857959999999999</v>
      </c>
      <c r="AJ347">
        <v>-1.01597</v>
      </c>
      <c r="AK347">
        <v>0.39628479999999999</v>
      </c>
      <c r="AL347">
        <v>0.50759750000000003</v>
      </c>
      <c r="AM347">
        <v>0.76531640000000001</v>
      </c>
      <c r="AN347">
        <v>-0.1475535</v>
      </c>
      <c r="AO347">
        <v>6.7728960000000002</v>
      </c>
      <c r="AP347">
        <v>27.37134</v>
      </c>
      <c r="AQ347">
        <v>25.3462</v>
      </c>
      <c r="AR347">
        <v>20.344100000000001</v>
      </c>
      <c r="AS347">
        <v>24.227419999999999</v>
      </c>
      <c r="AT347">
        <v>25.880189999999999</v>
      </c>
      <c r="AU347">
        <v>19.9908</v>
      </c>
      <c r="AV347">
        <v>14.66389</v>
      </c>
      <c r="AW347">
        <v>18.66488</v>
      </c>
      <c r="AX347">
        <v>15.543089999999999</v>
      </c>
      <c r="AY347">
        <v>14.18168</v>
      </c>
      <c r="AZ347">
        <v>12.775259999999999</v>
      </c>
      <c r="BA347">
        <v>8.9520549999999997</v>
      </c>
      <c r="BB347">
        <v>0.61853250000000004</v>
      </c>
      <c r="BC347">
        <v>-1.261951</v>
      </c>
      <c r="BD347">
        <v>-2.3935179999999998</v>
      </c>
      <c r="BE347">
        <v>-2.2242999999999999</v>
      </c>
      <c r="BF347">
        <v>-3.5117940000000001</v>
      </c>
      <c r="BG347">
        <v>-2.411664</v>
      </c>
      <c r="BH347">
        <v>-0.68746980000000002</v>
      </c>
      <c r="BI347">
        <v>0.76104830000000001</v>
      </c>
      <c r="BJ347">
        <v>0.8677108</v>
      </c>
      <c r="BK347">
        <v>1.1411039999999999</v>
      </c>
      <c r="BL347">
        <v>0.26902680000000001</v>
      </c>
      <c r="BM347">
        <v>7.2350519999999996</v>
      </c>
      <c r="BN347">
        <v>27.906230000000001</v>
      </c>
      <c r="BO347">
        <v>25.92643</v>
      </c>
      <c r="BP347">
        <v>20.935400000000001</v>
      </c>
      <c r="BQ347">
        <v>24.855560000000001</v>
      </c>
      <c r="BR347">
        <v>26.55077</v>
      </c>
      <c r="BS347">
        <v>20.778790000000001</v>
      </c>
      <c r="BT347">
        <v>15.515689999999999</v>
      </c>
      <c r="BU347">
        <v>19.45675</v>
      </c>
      <c r="BV347">
        <v>16.28013</v>
      </c>
      <c r="BW347">
        <v>14.89798</v>
      </c>
      <c r="BX347">
        <v>13.43975</v>
      </c>
      <c r="BY347">
        <v>9.6219459999999994</v>
      </c>
      <c r="BZ347">
        <v>0.9784602</v>
      </c>
      <c r="CA347">
        <v>-0.96544070000000004</v>
      </c>
      <c r="CB347">
        <v>-2.1196190000000001</v>
      </c>
      <c r="CC347">
        <v>-1.9853940000000001</v>
      </c>
      <c r="CD347">
        <v>-3.279604</v>
      </c>
      <c r="CE347">
        <v>-2.1525409999999998</v>
      </c>
      <c r="CF347">
        <v>-0.45995160000000002</v>
      </c>
      <c r="CG347">
        <v>1.013682</v>
      </c>
      <c r="CH347">
        <v>1.117124</v>
      </c>
      <c r="CI347">
        <v>1.401373</v>
      </c>
      <c r="CJ347">
        <v>0.55754910000000002</v>
      </c>
      <c r="CK347">
        <v>7.5551389999999996</v>
      </c>
      <c r="CL347">
        <v>28.276700000000002</v>
      </c>
      <c r="CM347">
        <v>26.328299999999999</v>
      </c>
      <c r="CN347">
        <v>21.344930000000002</v>
      </c>
      <c r="CO347">
        <v>25.290600000000001</v>
      </c>
      <c r="CP347">
        <v>27.01521</v>
      </c>
      <c r="CQ347">
        <v>21.324549999999999</v>
      </c>
      <c r="CR347">
        <v>16.105650000000001</v>
      </c>
      <c r="CS347">
        <v>20.005199999999999</v>
      </c>
      <c r="CT347">
        <v>16.790600000000001</v>
      </c>
      <c r="CU347">
        <v>15.39409</v>
      </c>
      <c r="CV347">
        <v>13.89997</v>
      </c>
      <c r="CW347">
        <v>10.08591</v>
      </c>
      <c r="CX347">
        <v>1.3383879999999999</v>
      </c>
      <c r="CY347">
        <v>-0.66893020000000003</v>
      </c>
      <c r="CZ347">
        <v>-1.84572</v>
      </c>
      <c r="DA347">
        <v>-1.746488</v>
      </c>
      <c r="DB347">
        <v>-3.0474139999999998</v>
      </c>
      <c r="DC347">
        <v>-1.893418</v>
      </c>
      <c r="DD347">
        <v>-0.23243340000000001</v>
      </c>
      <c r="DE347">
        <v>1.266316</v>
      </c>
      <c r="DF347">
        <v>1.3665369999999999</v>
      </c>
      <c r="DG347">
        <v>1.6616420000000001</v>
      </c>
      <c r="DH347">
        <v>0.84607140000000003</v>
      </c>
      <c r="DI347">
        <v>7.8752259999999996</v>
      </c>
      <c r="DJ347">
        <v>28.64716</v>
      </c>
      <c r="DK347">
        <v>26.730170000000001</v>
      </c>
      <c r="DL347">
        <v>21.754470000000001</v>
      </c>
      <c r="DM347">
        <v>25.725650000000002</v>
      </c>
      <c r="DN347">
        <v>27.47964</v>
      </c>
      <c r="DO347">
        <v>21.87031</v>
      </c>
      <c r="DP347">
        <v>16.695599999999999</v>
      </c>
      <c r="DQ347">
        <v>20.553640000000001</v>
      </c>
      <c r="DR347">
        <v>17.301069999999999</v>
      </c>
      <c r="DS347">
        <v>15.8902</v>
      </c>
      <c r="DT347">
        <v>14.360189999999999</v>
      </c>
      <c r="DU347">
        <v>10.54988</v>
      </c>
      <c r="DV347">
        <v>1.858066</v>
      </c>
      <c r="DW347">
        <v>-0.24081610000000001</v>
      </c>
      <c r="DX347">
        <v>-1.450253</v>
      </c>
      <c r="DY347">
        <v>-1.401546</v>
      </c>
      <c r="DZ347">
        <v>-2.7121680000000001</v>
      </c>
      <c r="EA347">
        <v>-1.519285</v>
      </c>
      <c r="EB347">
        <v>9.6066799999999994E-2</v>
      </c>
      <c r="EC347">
        <v>1.6310800000000001</v>
      </c>
      <c r="ED347">
        <v>1.7266509999999999</v>
      </c>
      <c r="EE347">
        <v>2.0374289999999999</v>
      </c>
      <c r="EF347">
        <v>1.2626520000000001</v>
      </c>
      <c r="EG347">
        <v>8.3373799999999996</v>
      </c>
      <c r="EH347">
        <v>29.18205</v>
      </c>
      <c r="EI347">
        <v>27.310400000000001</v>
      </c>
      <c r="EJ347">
        <v>22.345770000000002</v>
      </c>
      <c r="EK347">
        <v>26.35378</v>
      </c>
      <c r="EL347">
        <v>28.150220000000001</v>
      </c>
      <c r="EM347">
        <v>22.658300000000001</v>
      </c>
      <c r="EN347">
        <v>17.5474</v>
      </c>
      <c r="EO347">
        <v>21.34552</v>
      </c>
      <c r="EP347">
        <v>18.03811</v>
      </c>
      <c r="EQ347">
        <v>16.6065</v>
      </c>
      <c r="ER347">
        <v>15.02468</v>
      </c>
      <c r="ES347">
        <v>11.21977</v>
      </c>
      <c r="ET347">
        <v>71.384159999999994</v>
      </c>
      <c r="EU347">
        <v>70.455669999999998</v>
      </c>
      <c r="EV347">
        <v>69.344890000000007</v>
      </c>
      <c r="EW347">
        <v>68.318790000000007</v>
      </c>
      <c r="EX347">
        <v>67.784480000000002</v>
      </c>
      <c r="EY347">
        <v>67.143810000000002</v>
      </c>
      <c r="EZ347">
        <v>66.619450000000001</v>
      </c>
      <c r="FA347">
        <v>67.736720000000005</v>
      </c>
      <c r="FB347">
        <v>70.058250000000001</v>
      </c>
      <c r="FC347">
        <v>73.449979999999996</v>
      </c>
      <c r="FD347">
        <v>76.703389999999999</v>
      </c>
      <c r="FE347">
        <v>80.170860000000005</v>
      </c>
      <c r="FF347">
        <v>83.332490000000007</v>
      </c>
      <c r="FG347">
        <v>85.769300000000001</v>
      </c>
      <c r="FH347">
        <v>87.324520000000007</v>
      </c>
      <c r="FI347">
        <v>88.761259999999993</v>
      </c>
      <c r="FJ347">
        <v>89.38364</v>
      </c>
      <c r="FK347">
        <v>88.927040000000005</v>
      </c>
      <c r="FL347">
        <v>87.056870000000004</v>
      </c>
      <c r="FM347">
        <v>84.142830000000004</v>
      </c>
      <c r="FN347">
        <v>80.812899999999999</v>
      </c>
      <c r="FO347">
        <v>78.290689999999998</v>
      </c>
      <c r="FP347">
        <v>75.944149999999993</v>
      </c>
      <c r="FQ347">
        <v>74.098709999999997</v>
      </c>
      <c r="FR347">
        <v>1</v>
      </c>
      <c r="FT347" s="44"/>
    </row>
    <row r="348" spans="1:176" x14ac:dyDescent="0.2">
      <c r="A348" t="s">
        <v>196</v>
      </c>
      <c r="B348" t="s">
        <v>1</v>
      </c>
      <c r="C348" s="70">
        <v>41852</v>
      </c>
      <c r="D348">
        <v>0</v>
      </c>
      <c r="E348" s="70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T348" s="44"/>
    </row>
    <row r="349" spans="1:176" x14ac:dyDescent="0.2">
      <c r="A349" t="s">
        <v>196</v>
      </c>
      <c r="B349" t="s">
        <v>1</v>
      </c>
      <c r="C349" s="70">
        <v>41894</v>
      </c>
      <c r="D349">
        <v>0</v>
      </c>
      <c r="E349" s="70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T349" s="44"/>
    </row>
    <row r="350" spans="1:176" x14ac:dyDescent="0.2">
      <c r="A350" t="s">
        <v>196</v>
      </c>
      <c r="B350" t="s">
        <v>1</v>
      </c>
      <c r="C350" s="70">
        <v>41897</v>
      </c>
      <c r="D350">
        <v>0</v>
      </c>
      <c r="E350" s="7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T350" s="44"/>
    </row>
    <row r="351" spans="1:176" x14ac:dyDescent="0.2">
      <c r="A351" t="s">
        <v>196</v>
      </c>
      <c r="B351" t="s">
        <v>1</v>
      </c>
      <c r="C351" s="70">
        <v>41898</v>
      </c>
      <c r="D351">
        <v>14</v>
      </c>
      <c r="E351" s="70">
        <v>243</v>
      </c>
      <c r="F351">
        <v>283.1814</v>
      </c>
      <c r="G351">
        <v>280.50170000000003</v>
      </c>
      <c r="H351">
        <v>274.99329999999998</v>
      </c>
      <c r="I351">
        <v>275.19549999999998</v>
      </c>
      <c r="J351">
        <v>277.89080000000001</v>
      </c>
      <c r="K351">
        <v>284.23020000000002</v>
      </c>
      <c r="L351">
        <v>298.71480000000003</v>
      </c>
      <c r="M351">
        <v>300.47660000000002</v>
      </c>
      <c r="N351">
        <v>304.93970000000002</v>
      </c>
      <c r="O351">
        <v>314.77809999999999</v>
      </c>
      <c r="P351">
        <v>308.15710000000001</v>
      </c>
      <c r="Q351">
        <v>313.46429999999998</v>
      </c>
      <c r="R351">
        <v>310.76299999999998</v>
      </c>
      <c r="S351">
        <v>313.56490000000002</v>
      </c>
      <c r="T351">
        <v>311.90910000000002</v>
      </c>
      <c r="U351">
        <v>304.8261</v>
      </c>
      <c r="V351">
        <v>302.27879999999999</v>
      </c>
      <c r="W351">
        <v>300.57130000000001</v>
      </c>
      <c r="X351">
        <v>300.90249999999997</v>
      </c>
      <c r="Y351">
        <v>303.84480000000002</v>
      </c>
      <c r="Z351">
        <v>302.42959999999999</v>
      </c>
      <c r="AA351">
        <v>299.4991</v>
      </c>
      <c r="AB351">
        <v>297.68939999999998</v>
      </c>
      <c r="AC351">
        <v>291.81139999999999</v>
      </c>
      <c r="AD351">
        <v>-2.1517430000000002</v>
      </c>
      <c r="AE351">
        <v>-0.44179279999999999</v>
      </c>
      <c r="AF351">
        <v>0.70599590000000001</v>
      </c>
      <c r="AG351">
        <v>0.51811989999999997</v>
      </c>
      <c r="AH351">
        <v>-2.1403759999999998</v>
      </c>
      <c r="AI351">
        <v>-1.525015</v>
      </c>
      <c r="AJ351">
        <v>-1.0487169999999999</v>
      </c>
      <c r="AK351">
        <v>1.0469120000000001</v>
      </c>
      <c r="AL351">
        <v>11.47354</v>
      </c>
      <c r="AM351">
        <v>16.579029999999999</v>
      </c>
      <c r="AN351">
        <v>16.275950000000002</v>
      </c>
      <c r="AO351">
        <v>19.152429999999999</v>
      </c>
      <c r="AP351">
        <v>22.94117</v>
      </c>
      <c r="AQ351">
        <v>23.936699999999998</v>
      </c>
      <c r="AR351">
        <v>26.344639999999998</v>
      </c>
      <c r="AS351">
        <v>26.749559999999999</v>
      </c>
      <c r="AT351">
        <v>26.87566</v>
      </c>
      <c r="AU351">
        <v>24.294339999999998</v>
      </c>
      <c r="AV351">
        <v>20.281330000000001</v>
      </c>
      <c r="AW351">
        <v>15.674939999999999</v>
      </c>
      <c r="AX351">
        <v>8.3609229999999997</v>
      </c>
      <c r="AY351">
        <v>6.8277299999999999</v>
      </c>
      <c r="AZ351">
        <v>2.8989419999999999</v>
      </c>
      <c r="BA351">
        <v>2.7187679999999999</v>
      </c>
      <c r="BB351">
        <v>-1.588012</v>
      </c>
      <c r="BC351">
        <v>0.17857129999999999</v>
      </c>
      <c r="BD351">
        <v>1.1597789999999999</v>
      </c>
      <c r="BE351">
        <v>0.8166369</v>
      </c>
      <c r="BF351">
        <v>-1.479276</v>
      </c>
      <c r="BG351">
        <v>-0.81945990000000002</v>
      </c>
      <c r="BH351">
        <v>-0.32625169999999998</v>
      </c>
      <c r="BI351">
        <v>1.5673330000000001</v>
      </c>
      <c r="BJ351">
        <v>12.006600000000001</v>
      </c>
      <c r="BK351">
        <v>17.140470000000001</v>
      </c>
      <c r="BL351">
        <v>16.860289999999999</v>
      </c>
      <c r="BM351">
        <v>19.66863</v>
      </c>
      <c r="BN351">
        <v>23.407630000000001</v>
      </c>
      <c r="BO351">
        <v>24.32996</v>
      </c>
      <c r="BP351">
        <v>26.696950000000001</v>
      </c>
      <c r="BQ351">
        <v>27.124030000000001</v>
      </c>
      <c r="BR351">
        <v>27.27131</v>
      </c>
      <c r="BS351">
        <v>24.689489999999999</v>
      </c>
      <c r="BT351">
        <v>20.718440000000001</v>
      </c>
      <c r="BU351">
        <v>16.155149999999999</v>
      </c>
      <c r="BV351">
        <v>8.8575490000000006</v>
      </c>
      <c r="BW351">
        <v>7.2877179999999999</v>
      </c>
      <c r="BX351">
        <v>3.335394</v>
      </c>
      <c r="BY351">
        <v>3.1137419999999998</v>
      </c>
      <c r="BZ351">
        <v>-1.1975739999999999</v>
      </c>
      <c r="CA351">
        <v>0.60823360000000004</v>
      </c>
      <c r="CB351">
        <v>1.4740679999999999</v>
      </c>
      <c r="CC351">
        <v>1.0233890000000001</v>
      </c>
      <c r="CD351">
        <v>-1.021401</v>
      </c>
      <c r="CE351">
        <v>-0.3307948</v>
      </c>
      <c r="CF351">
        <v>0.17412559999999999</v>
      </c>
      <c r="CG351">
        <v>1.9277759999999999</v>
      </c>
      <c r="CH351">
        <v>12.37579</v>
      </c>
      <c r="CI351">
        <v>17.529319999999998</v>
      </c>
      <c r="CJ351">
        <v>17.26501</v>
      </c>
      <c r="CK351">
        <v>20.026150000000001</v>
      </c>
      <c r="CL351">
        <v>23.730699999999999</v>
      </c>
      <c r="CM351">
        <v>24.602329999999998</v>
      </c>
      <c r="CN351">
        <v>26.94096</v>
      </c>
      <c r="CO351">
        <v>27.383400000000002</v>
      </c>
      <c r="CP351">
        <v>27.545339999999999</v>
      </c>
      <c r="CQ351">
        <v>24.963170000000002</v>
      </c>
      <c r="CR351">
        <v>21.021190000000001</v>
      </c>
      <c r="CS351">
        <v>16.487749999999998</v>
      </c>
      <c r="CT351">
        <v>9.201511</v>
      </c>
      <c r="CU351">
        <v>7.6063039999999997</v>
      </c>
      <c r="CV351">
        <v>3.6376780000000002</v>
      </c>
      <c r="CW351">
        <v>3.3873000000000002</v>
      </c>
      <c r="CX351">
        <v>-0.80713550000000001</v>
      </c>
      <c r="CY351">
        <v>1.0378959999999999</v>
      </c>
      <c r="CZ351">
        <v>1.7883560000000001</v>
      </c>
      <c r="DA351">
        <v>1.2301409999999999</v>
      </c>
      <c r="DB351">
        <v>-0.56352500000000005</v>
      </c>
      <c r="DC351">
        <v>0.15787029999999999</v>
      </c>
      <c r="DD351">
        <v>0.67450299999999996</v>
      </c>
      <c r="DE351">
        <v>2.2882180000000001</v>
      </c>
      <c r="DF351">
        <v>12.74499</v>
      </c>
      <c r="DG351">
        <v>17.91817</v>
      </c>
      <c r="DH351">
        <v>17.669730000000001</v>
      </c>
      <c r="DI351">
        <v>20.383669999999999</v>
      </c>
      <c r="DJ351">
        <v>24.05377</v>
      </c>
      <c r="DK351">
        <v>24.874700000000001</v>
      </c>
      <c r="DL351">
        <v>27.18497</v>
      </c>
      <c r="DM351">
        <v>27.642759999999999</v>
      </c>
      <c r="DN351">
        <v>27.819369999999999</v>
      </c>
      <c r="DO351">
        <v>25.23685</v>
      </c>
      <c r="DP351">
        <v>21.323930000000001</v>
      </c>
      <c r="DQ351">
        <v>16.820340000000002</v>
      </c>
      <c r="DR351">
        <v>9.5454740000000005</v>
      </c>
      <c r="DS351">
        <v>7.9248909999999997</v>
      </c>
      <c r="DT351">
        <v>3.9399630000000001</v>
      </c>
      <c r="DU351">
        <v>3.660857</v>
      </c>
      <c r="DV351">
        <v>-0.2434046</v>
      </c>
      <c r="DW351">
        <v>1.6582600000000001</v>
      </c>
      <c r="DX351">
        <v>2.2421389999999999</v>
      </c>
      <c r="DY351">
        <v>1.5286580000000001</v>
      </c>
      <c r="DZ351">
        <v>9.7574599999999997E-2</v>
      </c>
      <c r="EA351">
        <v>0.86342509999999995</v>
      </c>
      <c r="EB351">
        <v>1.396968</v>
      </c>
      <c r="EC351">
        <v>2.80864</v>
      </c>
      <c r="ED351">
        <v>13.278040000000001</v>
      </c>
      <c r="EE351">
        <v>18.479610000000001</v>
      </c>
      <c r="EF351">
        <v>18.254069999999999</v>
      </c>
      <c r="EG351">
        <v>20.89987</v>
      </c>
      <c r="EH351">
        <v>24.520230000000002</v>
      </c>
      <c r="EI351">
        <v>25.267959999999999</v>
      </c>
      <c r="EJ351">
        <v>27.537279999999999</v>
      </c>
      <c r="EK351">
        <v>28.017230000000001</v>
      </c>
      <c r="EL351">
        <v>28.215019999999999</v>
      </c>
      <c r="EM351">
        <v>25.632000000000001</v>
      </c>
      <c r="EN351">
        <v>21.761050000000001</v>
      </c>
      <c r="EO351">
        <v>17.300550000000001</v>
      </c>
      <c r="EP351">
        <v>10.0421</v>
      </c>
      <c r="EQ351">
        <v>8.3848780000000005</v>
      </c>
      <c r="ER351">
        <v>4.3764139999999996</v>
      </c>
      <c r="ES351">
        <v>4.0558310000000004</v>
      </c>
      <c r="ET351">
        <v>67.250029999999995</v>
      </c>
      <c r="EU351">
        <v>65.86748</v>
      </c>
      <c r="EV351">
        <v>64.450050000000005</v>
      </c>
      <c r="EW351">
        <v>63.206710000000001</v>
      </c>
      <c r="EX351">
        <v>62.212609999999998</v>
      </c>
      <c r="EY351">
        <v>61.337299999999999</v>
      </c>
      <c r="EZ351">
        <v>60.435780000000001</v>
      </c>
      <c r="FA351">
        <v>60.999720000000003</v>
      </c>
      <c r="FB351">
        <v>65.16825</v>
      </c>
      <c r="FC351">
        <v>68.883679999999998</v>
      </c>
      <c r="FD351">
        <v>72.894530000000003</v>
      </c>
      <c r="FE351">
        <v>76.516940000000005</v>
      </c>
      <c r="FF351">
        <v>79.212360000000004</v>
      </c>
      <c r="FG351">
        <v>81.908990000000003</v>
      </c>
      <c r="FH351">
        <v>83.610069999999993</v>
      </c>
      <c r="FI351">
        <v>83.835009999999997</v>
      </c>
      <c r="FJ351">
        <v>83.618319999999997</v>
      </c>
      <c r="FK351">
        <v>82.739590000000007</v>
      </c>
      <c r="FL351">
        <v>79.919489999999996</v>
      </c>
      <c r="FM351">
        <v>76.29562</v>
      </c>
      <c r="FN351">
        <v>73.657319999999999</v>
      </c>
      <c r="FO351">
        <v>71.497119999999995</v>
      </c>
      <c r="FP351">
        <v>69.755669999999995</v>
      </c>
      <c r="FQ351">
        <v>68.674109999999999</v>
      </c>
      <c r="FR351">
        <v>1</v>
      </c>
      <c r="FT351" s="44"/>
    </row>
    <row r="352" spans="1:176" x14ac:dyDescent="0.2">
      <c r="A352" t="s">
        <v>196</v>
      </c>
      <c r="B352" t="s">
        <v>1</v>
      </c>
      <c r="C352" s="70" t="s">
        <v>2</v>
      </c>
      <c r="D352">
        <v>19.44444</v>
      </c>
      <c r="E352" s="70">
        <v>247.22200000000001</v>
      </c>
      <c r="F352">
        <v>269.98669999999998</v>
      </c>
      <c r="G352">
        <v>266.04719999999998</v>
      </c>
      <c r="H352">
        <v>263.42090000000002</v>
      </c>
      <c r="I352">
        <v>263.39780000000002</v>
      </c>
      <c r="J352">
        <v>268.21210000000002</v>
      </c>
      <c r="K352">
        <v>278.52449999999999</v>
      </c>
      <c r="L352">
        <v>292.86110000000002</v>
      </c>
      <c r="M352">
        <v>298.7199</v>
      </c>
      <c r="N352">
        <v>302.31200000000001</v>
      </c>
      <c r="O352">
        <v>307.36160000000001</v>
      </c>
      <c r="P352">
        <v>309.80349999999999</v>
      </c>
      <c r="Q352">
        <v>312.69319999999999</v>
      </c>
      <c r="R352">
        <v>308.69720000000001</v>
      </c>
      <c r="S352">
        <v>310.56110000000001</v>
      </c>
      <c r="T352">
        <v>307.22669999999999</v>
      </c>
      <c r="U352">
        <v>299.53210000000001</v>
      </c>
      <c r="V352">
        <v>297.2491</v>
      </c>
      <c r="W352">
        <v>293.95639999999997</v>
      </c>
      <c r="X352">
        <v>295.81</v>
      </c>
      <c r="Y352">
        <v>298.88529999999997</v>
      </c>
      <c r="Z352">
        <v>299.68799999999999</v>
      </c>
      <c r="AA352">
        <v>299.49579999999997</v>
      </c>
      <c r="AB352">
        <v>295.4171</v>
      </c>
      <c r="AC352">
        <v>289.57769999999999</v>
      </c>
      <c r="AD352">
        <v>0.43880580000000002</v>
      </c>
      <c r="AE352">
        <v>-0.7963829</v>
      </c>
      <c r="AF352">
        <v>-0.90538229999999997</v>
      </c>
      <c r="AG352">
        <v>-1.1122179999999999</v>
      </c>
      <c r="AH352">
        <v>-1.7931729999999999</v>
      </c>
      <c r="AI352">
        <v>-1.7574190000000001</v>
      </c>
      <c r="AJ352">
        <v>-1.6154809999999999</v>
      </c>
      <c r="AK352">
        <v>-0.63197780000000003</v>
      </c>
      <c r="AL352">
        <v>1.332943</v>
      </c>
      <c r="AM352">
        <v>2.1766459999999999</v>
      </c>
      <c r="AN352">
        <v>2.8984030000000001</v>
      </c>
      <c r="AO352">
        <v>7.8297509999999999</v>
      </c>
      <c r="AP352">
        <v>21.81683</v>
      </c>
      <c r="AQ352">
        <v>21.805</v>
      </c>
      <c r="AR352">
        <v>19.722079999999998</v>
      </c>
      <c r="AS352">
        <v>19.943490000000001</v>
      </c>
      <c r="AT352">
        <v>20.373660000000001</v>
      </c>
      <c r="AU352">
        <v>19.122240000000001</v>
      </c>
      <c r="AV352">
        <v>17.271090000000001</v>
      </c>
      <c r="AW352">
        <v>15.7117</v>
      </c>
      <c r="AX352">
        <v>9.9007229999999993</v>
      </c>
      <c r="AY352">
        <v>5.4231280000000002</v>
      </c>
      <c r="AZ352">
        <v>4.1905960000000002</v>
      </c>
      <c r="BA352">
        <v>4.0321170000000004</v>
      </c>
      <c r="BB352">
        <v>1.044022</v>
      </c>
      <c r="BC352">
        <v>-0.29559999999999997</v>
      </c>
      <c r="BD352">
        <v>-0.49373270000000002</v>
      </c>
      <c r="BE352">
        <v>-0.73384439999999995</v>
      </c>
      <c r="BF352">
        <v>-1.396064</v>
      </c>
      <c r="BG352">
        <v>-1.3231889999999999</v>
      </c>
      <c r="BH352">
        <v>-1.1683140000000001</v>
      </c>
      <c r="BI352">
        <v>-0.18042279999999999</v>
      </c>
      <c r="BJ352">
        <v>1.8072919999999999</v>
      </c>
      <c r="BK352">
        <v>2.6537139999999999</v>
      </c>
      <c r="BL352">
        <v>3.420839</v>
      </c>
      <c r="BM352">
        <v>8.3909050000000001</v>
      </c>
      <c r="BN352">
        <v>22.459610000000001</v>
      </c>
      <c r="BO352">
        <v>22.472359999999998</v>
      </c>
      <c r="BP352">
        <v>20.397210000000001</v>
      </c>
      <c r="BQ352">
        <v>20.626930000000002</v>
      </c>
      <c r="BR352">
        <v>21.080590000000001</v>
      </c>
      <c r="BS352">
        <v>19.92549</v>
      </c>
      <c r="BT352">
        <v>18.088519999999999</v>
      </c>
      <c r="BU352">
        <v>16.50637</v>
      </c>
      <c r="BV352">
        <v>10.695410000000001</v>
      </c>
      <c r="BW352">
        <v>6.2376240000000003</v>
      </c>
      <c r="BX352">
        <v>5.0301960000000001</v>
      </c>
      <c r="BY352">
        <v>4.8650710000000004</v>
      </c>
      <c r="BZ352">
        <v>1.463193</v>
      </c>
      <c r="CA352">
        <v>5.1240800000000003E-2</v>
      </c>
      <c r="CB352">
        <v>-0.20862549999999999</v>
      </c>
      <c r="CC352">
        <v>-0.47178360000000003</v>
      </c>
      <c r="CD352">
        <v>-1.121027</v>
      </c>
      <c r="CE352">
        <v>-1.0224420000000001</v>
      </c>
      <c r="CF352">
        <v>-0.85860760000000003</v>
      </c>
      <c r="CG352">
        <v>0.13232279999999999</v>
      </c>
      <c r="CH352">
        <v>2.1358250000000001</v>
      </c>
      <c r="CI352">
        <v>2.9841310000000001</v>
      </c>
      <c r="CJ352">
        <v>3.7826759999999999</v>
      </c>
      <c r="CK352">
        <v>8.77956</v>
      </c>
      <c r="CL352">
        <v>22.904800000000002</v>
      </c>
      <c r="CM352">
        <v>22.934570000000001</v>
      </c>
      <c r="CN352">
        <v>20.864799999999999</v>
      </c>
      <c r="CO352">
        <v>21.100280000000001</v>
      </c>
      <c r="CP352">
        <v>21.5702</v>
      </c>
      <c r="CQ352">
        <v>20.481809999999999</v>
      </c>
      <c r="CR352">
        <v>18.65466</v>
      </c>
      <c r="CS352">
        <v>17.056750000000001</v>
      </c>
      <c r="CT352">
        <v>11.245799999999999</v>
      </c>
      <c r="CU352">
        <v>6.8017409999999998</v>
      </c>
      <c r="CV352">
        <v>5.6117010000000001</v>
      </c>
      <c r="CW352">
        <v>5.4419729999999999</v>
      </c>
      <c r="CX352">
        <v>1.8823639999999999</v>
      </c>
      <c r="CY352">
        <v>0.39808149999999998</v>
      </c>
      <c r="CZ352">
        <v>7.6481800000000003E-2</v>
      </c>
      <c r="DA352">
        <v>-0.20972289999999999</v>
      </c>
      <c r="DB352">
        <v>-0.84598989999999996</v>
      </c>
      <c r="DC352">
        <v>-0.72169499999999998</v>
      </c>
      <c r="DD352">
        <v>-0.54890110000000003</v>
      </c>
      <c r="DE352">
        <v>0.44506839999999998</v>
      </c>
      <c r="DF352">
        <v>2.4643579999999998</v>
      </c>
      <c r="DG352">
        <v>3.3145470000000001</v>
      </c>
      <c r="DH352">
        <v>4.1445129999999999</v>
      </c>
      <c r="DI352">
        <v>9.168215</v>
      </c>
      <c r="DJ352">
        <v>23.349989999999998</v>
      </c>
      <c r="DK352">
        <v>23.39678</v>
      </c>
      <c r="DL352">
        <v>21.3324</v>
      </c>
      <c r="DM352">
        <v>21.573619999999998</v>
      </c>
      <c r="DN352">
        <v>22.059809999999999</v>
      </c>
      <c r="DO352">
        <v>21.038139999999999</v>
      </c>
      <c r="DP352">
        <v>19.22081</v>
      </c>
      <c r="DQ352">
        <v>17.607140000000001</v>
      </c>
      <c r="DR352">
        <v>11.796200000000001</v>
      </c>
      <c r="DS352">
        <v>7.3658590000000004</v>
      </c>
      <c r="DT352">
        <v>6.1932049999999998</v>
      </c>
      <c r="DU352">
        <v>6.0188740000000003</v>
      </c>
      <c r="DV352">
        <v>2.4875799999999999</v>
      </c>
      <c r="DW352">
        <v>0.89886440000000001</v>
      </c>
      <c r="DX352">
        <v>0.48813129999999999</v>
      </c>
      <c r="DY352">
        <v>0.1686512</v>
      </c>
      <c r="DZ352">
        <v>-0.44888050000000002</v>
      </c>
      <c r="EA352">
        <v>-0.28746440000000001</v>
      </c>
      <c r="EB352">
        <v>-0.1017342</v>
      </c>
      <c r="EC352">
        <v>0.89662339999999996</v>
      </c>
      <c r="ED352">
        <v>2.938707</v>
      </c>
      <c r="EE352">
        <v>3.7916150000000002</v>
      </c>
      <c r="EF352">
        <v>4.6669479999999997</v>
      </c>
      <c r="EG352">
        <v>9.7293690000000002</v>
      </c>
      <c r="EH352">
        <v>23.99277</v>
      </c>
      <c r="EI352">
        <v>24.064139999999998</v>
      </c>
      <c r="EJ352">
        <v>22.00752</v>
      </c>
      <c r="EK352">
        <v>22.257059999999999</v>
      </c>
      <c r="EL352">
        <v>22.766739999999999</v>
      </c>
      <c r="EM352">
        <v>21.841390000000001</v>
      </c>
      <c r="EN352">
        <v>20.038229999999999</v>
      </c>
      <c r="EO352">
        <v>18.401810000000001</v>
      </c>
      <c r="EP352">
        <v>12.59088</v>
      </c>
      <c r="EQ352">
        <v>8.1803539999999995</v>
      </c>
      <c r="ER352">
        <v>7.0328049999999998</v>
      </c>
      <c r="ES352">
        <v>6.8518290000000004</v>
      </c>
      <c r="ET352">
        <v>70.898060000000001</v>
      </c>
      <c r="EU352">
        <v>69.477149999999995</v>
      </c>
      <c r="EV352">
        <v>68.460629999999995</v>
      </c>
      <c r="EW352">
        <v>67.423330000000007</v>
      </c>
      <c r="EX352">
        <v>66.505870000000002</v>
      </c>
      <c r="EY352">
        <v>65.815479999999994</v>
      </c>
      <c r="EZ352">
        <v>65.470690000000005</v>
      </c>
      <c r="FA352">
        <v>66.803839999999994</v>
      </c>
      <c r="FB352">
        <v>69.682339999999996</v>
      </c>
      <c r="FC352">
        <v>73.296130000000005</v>
      </c>
      <c r="FD352">
        <v>77.089439999999996</v>
      </c>
      <c r="FE352">
        <v>80.245459999999994</v>
      </c>
      <c r="FF352">
        <v>82.848299999999995</v>
      </c>
      <c r="FG352">
        <v>85.027979999999999</v>
      </c>
      <c r="FH352">
        <v>86.366839999999996</v>
      </c>
      <c r="FI352">
        <v>87.002939999999995</v>
      </c>
      <c r="FJ352">
        <v>87.221699999999998</v>
      </c>
      <c r="FK352">
        <v>86.515180000000001</v>
      </c>
      <c r="FL352">
        <v>84.464550000000003</v>
      </c>
      <c r="FM352">
        <v>81.374589999999998</v>
      </c>
      <c r="FN352">
        <v>78.204599999999999</v>
      </c>
      <c r="FO352">
        <v>75.736800000000002</v>
      </c>
      <c r="FP352">
        <v>73.809640000000002</v>
      </c>
      <c r="FQ352">
        <v>72.287369999999996</v>
      </c>
      <c r="FR352">
        <v>1</v>
      </c>
      <c r="FT352" s="44"/>
    </row>
    <row r="353" spans="1:176" x14ac:dyDescent="0.2">
      <c r="A353" t="s">
        <v>196</v>
      </c>
      <c r="B353" t="s">
        <v>203</v>
      </c>
      <c r="C353" s="70">
        <v>41773</v>
      </c>
      <c r="D353">
        <v>0</v>
      </c>
      <c r="E353" s="70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T353" s="44"/>
    </row>
    <row r="354" spans="1:176" x14ac:dyDescent="0.2">
      <c r="A354" t="s">
        <v>196</v>
      </c>
      <c r="B354" t="s">
        <v>203</v>
      </c>
      <c r="C354" s="70">
        <v>41820</v>
      </c>
      <c r="D354">
        <v>0</v>
      </c>
      <c r="E354" s="70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T354" s="44"/>
    </row>
    <row r="355" spans="1:176" x14ac:dyDescent="0.2">
      <c r="A355" t="s">
        <v>196</v>
      </c>
      <c r="B355" t="s">
        <v>203</v>
      </c>
      <c r="C355" s="70">
        <v>41827</v>
      </c>
      <c r="D355">
        <v>0</v>
      </c>
      <c r="E355" s="70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T355" s="44"/>
    </row>
    <row r="356" spans="1:176" x14ac:dyDescent="0.2">
      <c r="A356" t="s">
        <v>196</v>
      </c>
      <c r="B356" t="s">
        <v>203</v>
      </c>
      <c r="C356" s="70">
        <v>41834</v>
      </c>
      <c r="D356">
        <v>0</v>
      </c>
      <c r="E356" s="70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T356" s="44"/>
    </row>
    <row r="357" spans="1:176" x14ac:dyDescent="0.2">
      <c r="A357" t="s">
        <v>196</v>
      </c>
      <c r="B357" t="s">
        <v>203</v>
      </c>
      <c r="C357" s="70">
        <v>41848</v>
      </c>
      <c r="D357">
        <v>0</v>
      </c>
      <c r="E357" s="70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T357" s="44"/>
    </row>
    <row r="358" spans="1:176" x14ac:dyDescent="0.2">
      <c r="A358" t="s">
        <v>196</v>
      </c>
      <c r="B358" t="s">
        <v>203</v>
      </c>
      <c r="C358" s="70">
        <v>41849</v>
      </c>
      <c r="D358">
        <v>0</v>
      </c>
      <c r="E358" s="70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T358" s="44"/>
    </row>
    <row r="359" spans="1:176" x14ac:dyDescent="0.2">
      <c r="A359" t="s">
        <v>196</v>
      </c>
      <c r="B359" t="s">
        <v>203</v>
      </c>
      <c r="C359" s="70">
        <v>41850</v>
      </c>
      <c r="D359">
        <v>0</v>
      </c>
      <c r="E359" s="70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T359" s="44"/>
    </row>
    <row r="360" spans="1:176" x14ac:dyDescent="0.2">
      <c r="A360" t="s">
        <v>196</v>
      </c>
      <c r="B360" t="s">
        <v>203</v>
      </c>
      <c r="C360" s="70">
        <v>41851</v>
      </c>
      <c r="D360">
        <v>0</v>
      </c>
      <c r="E360" s="7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T360" s="44"/>
    </row>
    <row r="361" spans="1:176" x14ac:dyDescent="0.2">
      <c r="A361" t="s">
        <v>196</v>
      </c>
      <c r="B361" t="s">
        <v>203</v>
      </c>
      <c r="C361" s="70">
        <v>41852</v>
      </c>
      <c r="D361">
        <v>0</v>
      </c>
      <c r="E361" s="70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T361" s="44"/>
    </row>
    <row r="362" spans="1:176" x14ac:dyDescent="0.2">
      <c r="A362" t="s">
        <v>196</v>
      </c>
      <c r="B362" t="s">
        <v>203</v>
      </c>
      <c r="C362" s="70">
        <v>41894</v>
      </c>
      <c r="D362">
        <v>0</v>
      </c>
      <c r="E362" s="70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T362" s="44"/>
    </row>
    <row r="363" spans="1:176" x14ac:dyDescent="0.2">
      <c r="A363" t="s">
        <v>196</v>
      </c>
      <c r="B363" t="s">
        <v>203</v>
      </c>
      <c r="C363" s="70">
        <v>41897</v>
      </c>
      <c r="D363">
        <v>0</v>
      </c>
      <c r="E363" s="70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T363" s="44"/>
    </row>
    <row r="364" spans="1:176" x14ac:dyDescent="0.2">
      <c r="A364" t="s">
        <v>196</v>
      </c>
      <c r="B364" t="s">
        <v>203</v>
      </c>
      <c r="C364" s="70">
        <v>41898</v>
      </c>
      <c r="D364">
        <v>0</v>
      </c>
      <c r="E364" s="70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T364" s="44"/>
    </row>
    <row r="365" spans="1:176" x14ac:dyDescent="0.2">
      <c r="A365" t="s">
        <v>196</v>
      </c>
      <c r="B365" t="s">
        <v>203</v>
      </c>
      <c r="C365" s="70" t="s">
        <v>2</v>
      </c>
      <c r="D365">
        <v>0</v>
      </c>
      <c r="E365" s="70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T365" s="44"/>
    </row>
    <row r="366" spans="1:176" x14ac:dyDescent="0.2">
      <c r="A366" t="s">
        <v>197</v>
      </c>
      <c r="B366" t="s">
        <v>202</v>
      </c>
      <c r="C366" s="70">
        <v>41773</v>
      </c>
      <c r="D366">
        <v>0</v>
      </c>
      <c r="E366" s="70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T366" s="44"/>
    </row>
    <row r="367" spans="1:176" x14ac:dyDescent="0.2">
      <c r="A367" t="s">
        <v>197</v>
      </c>
      <c r="B367" t="s">
        <v>202</v>
      </c>
      <c r="C367" s="70">
        <v>41820</v>
      </c>
      <c r="D367">
        <v>0</v>
      </c>
      <c r="E367" s="70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T367" s="44"/>
    </row>
    <row r="368" spans="1:176" x14ac:dyDescent="0.2">
      <c r="A368" t="s">
        <v>197</v>
      </c>
      <c r="B368" t="s">
        <v>202</v>
      </c>
      <c r="C368" s="70">
        <v>41827</v>
      </c>
      <c r="D368">
        <v>0</v>
      </c>
      <c r="E368" s="70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T368" s="44"/>
    </row>
    <row r="369" spans="1:176" x14ac:dyDescent="0.2">
      <c r="A369" t="s">
        <v>197</v>
      </c>
      <c r="B369" t="s">
        <v>202</v>
      </c>
      <c r="C369" s="70">
        <v>41834</v>
      </c>
      <c r="D369">
        <v>0</v>
      </c>
      <c r="E369" s="70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T369" s="44"/>
    </row>
    <row r="370" spans="1:176" x14ac:dyDescent="0.2">
      <c r="A370" t="s">
        <v>197</v>
      </c>
      <c r="B370" t="s">
        <v>202</v>
      </c>
      <c r="C370" s="70">
        <v>41848</v>
      </c>
      <c r="D370">
        <v>0</v>
      </c>
      <c r="E370" s="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T370" s="44"/>
    </row>
    <row r="371" spans="1:176" x14ac:dyDescent="0.2">
      <c r="A371" t="s">
        <v>197</v>
      </c>
      <c r="B371" t="s">
        <v>202</v>
      </c>
      <c r="C371" s="70">
        <v>41849</v>
      </c>
      <c r="D371">
        <v>0</v>
      </c>
      <c r="E371" s="70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T371" s="44"/>
    </row>
    <row r="372" spans="1:176" x14ac:dyDescent="0.2">
      <c r="A372" t="s">
        <v>197</v>
      </c>
      <c r="B372" t="s">
        <v>202</v>
      </c>
      <c r="C372" s="70">
        <v>41850</v>
      </c>
      <c r="D372">
        <v>0</v>
      </c>
      <c r="E372" s="70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T372" s="44"/>
    </row>
    <row r="373" spans="1:176" x14ac:dyDescent="0.2">
      <c r="A373" t="s">
        <v>197</v>
      </c>
      <c r="B373" t="s">
        <v>202</v>
      </c>
      <c r="C373" s="70">
        <v>41851</v>
      </c>
      <c r="D373">
        <v>0</v>
      </c>
      <c r="E373" s="70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T373" s="44"/>
    </row>
    <row r="374" spans="1:176" x14ac:dyDescent="0.2">
      <c r="A374" t="s">
        <v>197</v>
      </c>
      <c r="B374" t="s">
        <v>202</v>
      </c>
      <c r="C374" s="70">
        <v>41852</v>
      </c>
      <c r="D374">
        <v>0</v>
      </c>
      <c r="E374" s="70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T374" s="44"/>
    </row>
    <row r="375" spans="1:176" x14ac:dyDescent="0.2">
      <c r="A375" t="s">
        <v>197</v>
      </c>
      <c r="B375" t="s">
        <v>202</v>
      </c>
      <c r="C375" s="70">
        <v>41894</v>
      </c>
      <c r="D375">
        <v>0</v>
      </c>
      <c r="E375" s="70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T375" s="44"/>
    </row>
    <row r="376" spans="1:176" x14ac:dyDescent="0.2">
      <c r="A376" t="s">
        <v>197</v>
      </c>
      <c r="B376" t="s">
        <v>202</v>
      </c>
      <c r="C376" s="70">
        <v>41897</v>
      </c>
      <c r="D376">
        <v>0</v>
      </c>
      <c r="E376" s="70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T376" s="44"/>
    </row>
    <row r="377" spans="1:176" x14ac:dyDescent="0.2">
      <c r="A377" t="s">
        <v>197</v>
      </c>
      <c r="B377" t="s">
        <v>202</v>
      </c>
      <c r="C377" s="70">
        <v>41898</v>
      </c>
      <c r="D377">
        <v>0</v>
      </c>
      <c r="E377" s="70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T377" s="44"/>
    </row>
    <row r="378" spans="1:176" x14ac:dyDescent="0.2">
      <c r="A378" t="s">
        <v>197</v>
      </c>
      <c r="B378" t="s">
        <v>202</v>
      </c>
      <c r="C378" s="70" t="s">
        <v>2</v>
      </c>
      <c r="D378">
        <v>0</v>
      </c>
      <c r="E378" s="70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T378" s="44"/>
    </row>
    <row r="379" spans="1:176" x14ac:dyDescent="0.2">
      <c r="A379" t="s">
        <v>197</v>
      </c>
      <c r="B379" t="s">
        <v>204</v>
      </c>
      <c r="C379" s="70">
        <v>41773</v>
      </c>
      <c r="D379">
        <v>0</v>
      </c>
      <c r="E379" s="70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T379" s="44"/>
    </row>
    <row r="380" spans="1:176" x14ac:dyDescent="0.2">
      <c r="A380" t="s">
        <v>197</v>
      </c>
      <c r="B380" t="s">
        <v>204</v>
      </c>
      <c r="C380" s="70">
        <v>41820</v>
      </c>
      <c r="D380">
        <v>0</v>
      </c>
      <c r="E380" s="7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T380" s="44"/>
    </row>
    <row r="381" spans="1:176" x14ac:dyDescent="0.2">
      <c r="A381" t="s">
        <v>197</v>
      </c>
      <c r="B381" t="s">
        <v>204</v>
      </c>
      <c r="C381" s="70">
        <v>41827</v>
      </c>
      <c r="D381">
        <v>0</v>
      </c>
      <c r="E381" s="70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T381" s="44"/>
    </row>
    <row r="382" spans="1:176" x14ac:dyDescent="0.2">
      <c r="A382" t="s">
        <v>197</v>
      </c>
      <c r="B382" t="s">
        <v>204</v>
      </c>
      <c r="C382" s="70">
        <v>41834</v>
      </c>
      <c r="D382">
        <v>0</v>
      </c>
      <c r="E382" s="70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T382" s="44"/>
    </row>
    <row r="383" spans="1:176" x14ac:dyDescent="0.2">
      <c r="A383" t="s">
        <v>197</v>
      </c>
      <c r="B383" t="s">
        <v>204</v>
      </c>
      <c r="C383" s="70">
        <v>41848</v>
      </c>
      <c r="D383">
        <v>0</v>
      </c>
      <c r="E383" s="70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T383" s="44"/>
    </row>
    <row r="384" spans="1:176" x14ac:dyDescent="0.2">
      <c r="A384" t="s">
        <v>197</v>
      </c>
      <c r="B384" t="s">
        <v>204</v>
      </c>
      <c r="C384" s="70">
        <v>41849</v>
      </c>
      <c r="D384">
        <v>0</v>
      </c>
      <c r="E384" s="70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T384" s="44"/>
    </row>
    <row r="385" spans="1:176" x14ac:dyDescent="0.2">
      <c r="A385" t="s">
        <v>197</v>
      </c>
      <c r="B385" t="s">
        <v>204</v>
      </c>
      <c r="C385" s="70">
        <v>41850</v>
      </c>
      <c r="D385">
        <v>0</v>
      </c>
      <c r="E385" s="70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T385" s="44"/>
    </row>
    <row r="386" spans="1:176" x14ac:dyDescent="0.2">
      <c r="A386" t="s">
        <v>197</v>
      </c>
      <c r="B386" t="s">
        <v>204</v>
      </c>
      <c r="C386" s="70">
        <v>41851</v>
      </c>
      <c r="D386">
        <v>0</v>
      </c>
      <c r="E386" s="70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T386" s="44"/>
    </row>
    <row r="387" spans="1:176" x14ac:dyDescent="0.2">
      <c r="A387" t="s">
        <v>197</v>
      </c>
      <c r="B387" t="s">
        <v>204</v>
      </c>
      <c r="C387" s="70">
        <v>41852</v>
      </c>
      <c r="D387">
        <v>0</v>
      </c>
      <c r="E387" s="70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T387" s="44"/>
    </row>
    <row r="388" spans="1:176" x14ac:dyDescent="0.2">
      <c r="A388" t="s">
        <v>197</v>
      </c>
      <c r="B388" t="s">
        <v>204</v>
      </c>
      <c r="C388" s="70">
        <v>41894</v>
      </c>
      <c r="D388">
        <v>0</v>
      </c>
      <c r="E388" s="70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T388" s="44"/>
    </row>
    <row r="389" spans="1:176" x14ac:dyDescent="0.2">
      <c r="A389" t="s">
        <v>197</v>
      </c>
      <c r="B389" t="s">
        <v>204</v>
      </c>
      <c r="C389" s="70">
        <v>41897</v>
      </c>
      <c r="D389">
        <v>0</v>
      </c>
      <c r="E389" s="70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T389" s="44"/>
    </row>
    <row r="390" spans="1:176" x14ac:dyDescent="0.2">
      <c r="A390" t="s">
        <v>197</v>
      </c>
      <c r="B390" t="s">
        <v>204</v>
      </c>
      <c r="C390" s="70">
        <v>41898</v>
      </c>
      <c r="D390">
        <v>0</v>
      </c>
      <c r="E390" s="7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T390" s="44"/>
    </row>
    <row r="391" spans="1:176" x14ac:dyDescent="0.2">
      <c r="A391" t="s">
        <v>197</v>
      </c>
      <c r="B391" t="s">
        <v>204</v>
      </c>
      <c r="C391" s="70" t="s">
        <v>2</v>
      </c>
      <c r="D391">
        <v>0</v>
      </c>
      <c r="E391" s="70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T391" s="44"/>
    </row>
    <row r="392" spans="1:176" x14ac:dyDescent="0.2">
      <c r="A392" t="s">
        <v>197</v>
      </c>
      <c r="B392" t="s">
        <v>1</v>
      </c>
      <c r="C392" s="70">
        <v>41773</v>
      </c>
      <c r="D392">
        <v>0</v>
      </c>
      <c r="E392" s="70">
        <v>24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T392" s="44"/>
    </row>
    <row r="393" spans="1:176" x14ac:dyDescent="0.2">
      <c r="A393" t="s">
        <v>197</v>
      </c>
      <c r="B393" t="s">
        <v>1</v>
      </c>
      <c r="C393" s="70">
        <v>41820</v>
      </c>
      <c r="D393">
        <v>0</v>
      </c>
      <c r="E393" s="70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T393" s="44"/>
    </row>
    <row r="394" spans="1:176" x14ac:dyDescent="0.2">
      <c r="A394" t="s">
        <v>197</v>
      </c>
      <c r="B394" t="s">
        <v>1</v>
      </c>
      <c r="C394" s="70">
        <v>41827</v>
      </c>
      <c r="D394">
        <v>0</v>
      </c>
      <c r="E394" s="70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T394" s="44"/>
    </row>
    <row r="395" spans="1:176" x14ac:dyDescent="0.2">
      <c r="A395" t="s">
        <v>197</v>
      </c>
      <c r="B395" t="s">
        <v>1</v>
      </c>
      <c r="C395" s="70">
        <v>41834</v>
      </c>
      <c r="D395">
        <v>0</v>
      </c>
      <c r="E395" s="70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T395" s="44"/>
    </row>
    <row r="396" spans="1:176" x14ac:dyDescent="0.2">
      <c r="A396" t="s">
        <v>197</v>
      </c>
      <c r="B396" t="s">
        <v>1</v>
      </c>
      <c r="C396" s="70">
        <v>41848</v>
      </c>
      <c r="D396">
        <v>0</v>
      </c>
      <c r="E396" s="70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T396" s="44"/>
    </row>
    <row r="397" spans="1:176" x14ac:dyDescent="0.2">
      <c r="A397" t="s">
        <v>197</v>
      </c>
      <c r="B397" t="s">
        <v>1</v>
      </c>
      <c r="C397" s="70">
        <v>41849</v>
      </c>
      <c r="D397">
        <v>0</v>
      </c>
      <c r="E397" s="70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T397" s="44"/>
    </row>
    <row r="398" spans="1:176" x14ac:dyDescent="0.2">
      <c r="A398" t="s">
        <v>197</v>
      </c>
      <c r="B398" t="s">
        <v>1</v>
      </c>
      <c r="C398" s="70">
        <v>41850</v>
      </c>
      <c r="D398">
        <v>0</v>
      </c>
      <c r="E398" s="70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T398" s="44"/>
    </row>
    <row r="399" spans="1:176" x14ac:dyDescent="0.2">
      <c r="A399" t="s">
        <v>197</v>
      </c>
      <c r="B399" t="s">
        <v>1</v>
      </c>
      <c r="C399" s="70">
        <v>41851</v>
      </c>
      <c r="D399">
        <v>0</v>
      </c>
      <c r="E399" s="70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T399" s="44"/>
    </row>
    <row r="400" spans="1:176" x14ac:dyDescent="0.2">
      <c r="A400" t="s">
        <v>197</v>
      </c>
      <c r="B400" t="s">
        <v>1</v>
      </c>
      <c r="C400" s="70">
        <v>41852</v>
      </c>
      <c r="D400">
        <v>0</v>
      </c>
      <c r="E400" s="7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T400" s="44"/>
    </row>
    <row r="401" spans="1:176" x14ac:dyDescent="0.2">
      <c r="A401" t="s">
        <v>197</v>
      </c>
      <c r="B401" t="s">
        <v>1</v>
      </c>
      <c r="C401" s="70">
        <v>41894</v>
      </c>
      <c r="D401">
        <v>0</v>
      </c>
      <c r="E401" s="70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T401" s="44"/>
    </row>
    <row r="402" spans="1:176" x14ac:dyDescent="0.2">
      <c r="A402" t="s">
        <v>197</v>
      </c>
      <c r="B402" t="s">
        <v>1</v>
      </c>
      <c r="C402" s="70">
        <v>41897</v>
      </c>
      <c r="D402">
        <v>0</v>
      </c>
      <c r="E402" s="70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T402" s="44"/>
    </row>
    <row r="403" spans="1:176" x14ac:dyDescent="0.2">
      <c r="A403" t="s">
        <v>197</v>
      </c>
      <c r="B403" t="s">
        <v>1</v>
      </c>
      <c r="C403" s="70">
        <v>41898</v>
      </c>
      <c r="D403">
        <v>0</v>
      </c>
      <c r="E403" s="70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T403" s="44"/>
    </row>
    <row r="404" spans="1:176" x14ac:dyDescent="0.2">
      <c r="A404" t="s">
        <v>197</v>
      </c>
      <c r="B404" t="s">
        <v>1</v>
      </c>
      <c r="C404" s="70" t="s">
        <v>2</v>
      </c>
      <c r="D404">
        <v>0</v>
      </c>
      <c r="E404" s="70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T404" s="44"/>
    </row>
    <row r="405" spans="1:176" x14ac:dyDescent="0.2">
      <c r="A405" t="s">
        <v>197</v>
      </c>
      <c r="B405" t="s">
        <v>203</v>
      </c>
      <c r="C405" s="70">
        <v>41773</v>
      </c>
      <c r="D405">
        <v>0</v>
      </c>
      <c r="E405" s="70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T405" s="44"/>
    </row>
    <row r="406" spans="1:176" x14ac:dyDescent="0.2">
      <c r="A406" t="s">
        <v>197</v>
      </c>
      <c r="B406" t="s">
        <v>203</v>
      </c>
      <c r="C406" s="70">
        <v>41820</v>
      </c>
      <c r="D406">
        <v>0</v>
      </c>
      <c r="E406" s="70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T406" s="44"/>
    </row>
    <row r="407" spans="1:176" x14ac:dyDescent="0.2">
      <c r="A407" t="s">
        <v>197</v>
      </c>
      <c r="B407" t="s">
        <v>203</v>
      </c>
      <c r="C407" s="70">
        <v>41827</v>
      </c>
      <c r="D407">
        <v>0</v>
      </c>
      <c r="E407" s="70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T407" s="44"/>
    </row>
    <row r="408" spans="1:176" x14ac:dyDescent="0.2">
      <c r="A408" t="s">
        <v>197</v>
      </c>
      <c r="B408" t="s">
        <v>203</v>
      </c>
      <c r="C408" s="70">
        <v>41834</v>
      </c>
      <c r="D408">
        <v>0</v>
      </c>
      <c r="E408" s="70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T408" s="44"/>
    </row>
    <row r="409" spans="1:176" x14ac:dyDescent="0.2">
      <c r="A409" t="s">
        <v>197</v>
      </c>
      <c r="B409" t="s">
        <v>203</v>
      </c>
      <c r="C409" s="70">
        <v>41848</v>
      </c>
      <c r="D409">
        <v>0</v>
      </c>
      <c r="E409" s="70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T409" s="44"/>
    </row>
    <row r="410" spans="1:176" x14ac:dyDescent="0.2">
      <c r="A410" t="s">
        <v>197</v>
      </c>
      <c r="B410" t="s">
        <v>203</v>
      </c>
      <c r="C410" s="70">
        <v>41849</v>
      </c>
      <c r="D410">
        <v>0</v>
      </c>
      <c r="E410" s="7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T410" s="44"/>
    </row>
    <row r="411" spans="1:176" x14ac:dyDescent="0.2">
      <c r="A411" t="s">
        <v>197</v>
      </c>
      <c r="B411" t="s">
        <v>203</v>
      </c>
      <c r="C411" s="70">
        <v>41850</v>
      </c>
      <c r="D411">
        <v>0</v>
      </c>
      <c r="E411" s="70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T411" s="44"/>
    </row>
    <row r="412" spans="1:176" x14ac:dyDescent="0.2">
      <c r="A412" t="s">
        <v>197</v>
      </c>
      <c r="B412" t="s">
        <v>203</v>
      </c>
      <c r="C412" s="70">
        <v>41851</v>
      </c>
      <c r="D412">
        <v>0</v>
      </c>
      <c r="E412" s="70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T412" s="44"/>
    </row>
    <row r="413" spans="1:176" x14ac:dyDescent="0.2">
      <c r="A413" t="s">
        <v>197</v>
      </c>
      <c r="B413" t="s">
        <v>203</v>
      </c>
      <c r="C413" s="70">
        <v>41852</v>
      </c>
      <c r="D413">
        <v>0</v>
      </c>
      <c r="E413" s="70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T413" s="44"/>
    </row>
    <row r="414" spans="1:176" x14ac:dyDescent="0.2">
      <c r="A414" t="s">
        <v>197</v>
      </c>
      <c r="B414" t="s">
        <v>203</v>
      </c>
      <c r="C414" s="70">
        <v>41894</v>
      </c>
      <c r="D414">
        <v>0</v>
      </c>
      <c r="E414" s="70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T414" s="44"/>
    </row>
    <row r="415" spans="1:176" x14ac:dyDescent="0.2">
      <c r="A415" t="s">
        <v>197</v>
      </c>
      <c r="B415" t="s">
        <v>203</v>
      </c>
      <c r="C415" s="70">
        <v>41897</v>
      </c>
      <c r="D415">
        <v>0</v>
      </c>
      <c r="E415" s="70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T415" s="44"/>
    </row>
    <row r="416" spans="1:176" x14ac:dyDescent="0.2">
      <c r="A416" t="s">
        <v>197</v>
      </c>
      <c r="B416" t="s">
        <v>203</v>
      </c>
      <c r="C416" s="70">
        <v>41898</v>
      </c>
      <c r="D416">
        <v>0</v>
      </c>
      <c r="E416" s="70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T416" s="44"/>
    </row>
    <row r="417" spans="1:176" x14ac:dyDescent="0.2">
      <c r="A417" t="s">
        <v>197</v>
      </c>
      <c r="B417" t="s">
        <v>203</v>
      </c>
      <c r="C417" s="70" t="s">
        <v>2</v>
      </c>
      <c r="D417">
        <v>0</v>
      </c>
      <c r="E417" s="70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T417" s="44"/>
    </row>
    <row r="418" spans="1:176" x14ac:dyDescent="0.2">
      <c r="A418" t="s">
        <v>198</v>
      </c>
      <c r="B418" t="s">
        <v>202</v>
      </c>
      <c r="C418" s="70">
        <v>41773</v>
      </c>
      <c r="D418">
        <v>0</v>
      </c>
      <c r="E418" s="70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T418" s="44"/>
    </row>
    <row r="419" spans="1:176" x14ac:dyDescent="0.2">
      <c r="A419" t="s">
        <v>198</v>
      </c>
      <c r="B419" t="s">
        <v>202</v>
      </c>
      <c r="C419" s="70">
        <v>41820</v>
      </c>
      <c r="D419">
        <v>0</v>
      </c>
      <c r="E419" s="70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T419" s="44"/>
    </row>
    <row r="420" spans="1:176" x14ac:dyDescent="0.2">
      <c r="A420" t="s">
        <v>198</v>
      </c>
      <c r="B420" t="s">
        <v>202</v>
      </c>
      <c r="C420" s="70">
        <v>41827</v>
      </c>
      <c r="D420">
        <v>0</v>
      </c>
      <c r="E420" s="7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T420" s="44"/>
    </row>
    <row r="421" spans="1:176" x14ac:dyDescent="0.2">
      <c r="A421" t="s">
        <v>198</v>
      </c>
      <c r="B421" t="s">
        <v>202</v>
      </c>
      <c r="C421" s="70">
        <v>41834</v>
      </c>
      <c r="D421">
        <v>0</v>
      </c>
      <c r="E421" s="70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T421" s="44"/>
    </row>
    <row r="422" spans="1:176" x14ac:dyDescent="0.2">
      <c r="A422" t="s">
        <v>198</v>
      </c>
      <c r="B422" t="s">
        <v>202</v>
      </c>
      <c r="C422" s="70">
        <v>41848</v>
      </c>
      <c r="D422">
        <v>0</v>
      </c>
      <c r="E422" s="70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T422" s="44"/>
    </row>
    <row r="423" spans="1:176" x14ac:dyDescent="0.2">
      <c r="A423" t="s">
        <v>198</v>
      </c>
      <c r="B423" t="s">
        <v>202</v>
      </c>
      <c r="C423" s="70">
        <v>41849</v>
      </c>
      <c r="D423">
        <v>0</v>
      </c>
      <c r="E423" s="70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T423" s="44"/>
    </row>
    <row r="424" spans="1:176" x14ac:dyDescent="0.2">
      <c r="A424" t="s">
        <v>198</v>
      </c>
      <c r="B424" t="s">
        <v>202</v>
      </c>
      <c r="C424" s="70">
        <v>41850</v>
      </c>
      <c r="D424">
        <v>0</v>
      </c>
      <c r="E424" s="70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T424" s="44"/>
    </row>
    <row r="425" spans="1:176" x14ac:dyDescent="0.2">
      <c r="A425" t="s">
        <v>198</v>
      </c>
      <c r="B425" t="s">
        <v>202</v>
      </c>
      <c r="C425" s="70">
        <v>41851</v>
      </c>
      <c r="D425">
        <v>0</v>
      </c>
      <c r="E425" s="70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T425" s="44"/>
    </row>
    <row r="426" spans="1:176" x14ac:dyDescent="0.2">
      <c r="A426" t="s">
        <v>198</v>
      </c>
      <c r="B426" t="s">
        <v>202</v>
      </c>
      <c r="C426" s="70">
        <v>41852</v>
      </c>
      <c r="D426">
        <v>0</v>
      </c>
      <c r="E426" s="70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T426" s="44"/>
    </row>
    <row r="427" spans="1:176" x14ac:dyDescent="0.2">
      <c r="A427" t="s">
        <v>198</v>
      </c>
      <c r="B427" t="s">
        <v>202</v>
      </c>
      <c r="C427" s="70">
        <v>41894</v>
      </c>
      <c r="D427">
        <v>0</v>
      </c>
      <c r="E427" s="70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T427" s="44"/>
    </row>
    <row r="428" spans="1:176" x14ac:dyDescent="0.2">
      <c r="A428" t="s">
        <v>198</v>
      </c>
      <c r="B428" t="s">
        <v>202</v>
      </c>
      <c r="C428" s="70">
        <v>41897</v>
      </c>
      <c r="D428">
        <v>0</v>
      </c>
      <c r="E428" s="70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T428" s="44"/>
    </row>
    <row r="429" spans="1:176" x14ac:dyDescent="0.2">
      <c r="A429" t="s">
        <v>198</v>
      </c>
      <c r="B429" t="s">
        <v>202</v>
      </c>
      <c r="C429" s="70">
        <v>41898</v>
      </c>
      <c r="D429">
        <v>0</v>
      </c>
      <c r="E429" s="70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T429" s="44"/>
    </row>
    <row r="430" spans="1:176" x14ac:dyDescent="0.2">
      <c r="A430" t="s">
        <v>198</v>
      </c>
      <c r="B430" t="s">
        <v>202</v>
      </c>
      <c r="C430" s="70" t="s">
        <v>2</v>
      </c>
      <c r="D430">
        <v>0</v>
      </c>
      <c r="E430" s="7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T430" s="44"/>
    </row>
    <row r="431" spans="1:176" x14ac:dyDescent="0.2">
      <c r="A431" t="s">
        <v>198</v>
      </c>
      <c r="B431" t="s">
        <v>204</v>
      </c>
      <c r="C431" s="70">
        <v>41773</v>
      </c>
      <c r="D431">
        <v>0</v>
      </c>
      <c r="E431" s="70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T431" s="44"/>
    </row>
    <row r="432" spans="1:176" x14ac:dyDescent="0.2">
      <c r="A432" t="s">
        <v>198</v>
      </c>
      <c r="B432" t="s">
        <v>204</v>
      </c>
      <c r="C432" s="70">
        <v>41820</v>
      </c>
      <c r="D432">
        <v>0</v>
      </c>
      <c r="E432" s="70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T432" s="44"/>
    </row>
    <row r="433" spans="1:176" x14ac:dyDescent="0.2">
      <c r="A433" t="s">
        <v>198</v>
      </c>
      <c r="B433" t="s">
        <v>204</v>
      </c>
      <c r="C433" s="70">
        <v>41827</v>
      </c>
      <c r="D433">
        <v>0</v>
      </c>
      <c r="E433" s="70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T433" s="44"/>
    </row>
    <row r="434" spans="1:176" x14ac:dyDescent="0.2">
      <c r="A434" t="s">
        <v>198</v>
      </c>
      <c r="B434" t="s">
        <v>204</v>
      </c>
      <c r="C434" s="70">
        <v>41834</v>
      </c>
      <c r="D434">
        <v>0</v>
      </c>
      <c r="E434" s="70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T434" s="44"/>
    </row>
    <row r="435" spans="1:176" x14ac:dyDescent="0.2">
      <c r="A435" t="s">
        <v>198</v>
      </c>
      <c r="B435" t="s">
        <v>204</v>
      </c>
      <c r="C435" s="70">
        <v>41848</v>
      </c>
      <c r="D435">
        <v>0</v>
      </c>
      <c r="E435" s="70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T435" s="44"/>
    </row>
    <row r="436" spans="1:176" x14ac:dyDescent="0.2">
      <c r="A436" t="s">
        <v>198</v>
      </c>
      <c r="B436" t="s">
        <v>204</v>
      </c>
      <c r="C436" s="70">
        <v>41849</v>
      </c>
      <c r="D436">
        <v>0</v>
      </c>
      <c r="E436" s="70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T436" s="44"/>
    </row>
    <row r="437" spans="1:176" x14ac:dyDescent="0.2">
      <c r="A437" t="s">
        <v>198</v>
      </c>
      <c r="B437" t="s">
        <v>204</v>
      </c>
      <c r="C437" s="70">
        <v>41850</v>
      </c>
      <c r="D437">
        <v>0</v>
      </c>
      <c r="E437" s="70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T437" s="44"/>
    </row>
    <row r="438" spans="1:176" x14ac:dyDescent="0.2">
      <c r="A438" t="s">
        <v>198</v>
      </c>
      <c r="B438" t="s">
        <v>204</v>
      </c>
      <c r="C438" s="70">
        <v>41851</v>
      </c>
      <c r="D438">
        <v>0</v>
      </c>
      <c r="E438" s="70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T438" s="44"/>
    </row>
    <row r="439" spans="1:176" x14ac:dyDescent="0.2">
      <c r="A439" t="s">
        <v>198</v>
      </c>
      <c r="B439" t="s">
        <v>204</v>
      </c>
      <c r="C439" s="70">
        <v>41852</v>
      </c>
      <c r="D439">
        <v>0</v>
      </c>
      <c r="E439" s="70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T439" s="44"/>
    </row>
    <row r="440" spans="1:176" x14ac:dyDescent="0.2">
      <c r="A440" t="s">
        <v>198</v>
      </c>
      <c r="B440" t="s">
        <v>204</v>
      </c>
      <c r="C440" s="70">
        <v>41894</v>
      </c>
      <c r="D440">
        <v>0</v>
      </c>
      <c r="E440" s="7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T440" s="44"/>
    </row>
    <row r="441" spans="1:176" x14ac:dyDescent="0.2">
      <c r="A441" t="s">
        <v>198</v>
      </c>
      <c r="B441" t="s">
        <v>204</v>
      </c>
      <c r="C441" s="70">
        <v>41897</v>
      </c>
      <c r="D441">
        <v>0</v>
      </c>
      <c r="E441" s="70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T441" s="44"/>
    </row>
    <row r="442" spans="1:176" x14ac:dyDescent="0.2">
      <c r="A442" t="s">
        <v>198</v>
      </c>
      <c r="B442" t="s">
        <v>204</v>
      </c>
      <c r="C442" s="70">
        <v>41898</v>
      </c>
      <c r="D442">
        <v>0</v>
      </c>
      <c r="E442" s="70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T442" s="44"/>
    </row>
    <row r="443" spans="1:176" x14ac:dyDescent="0.2">
      <c r="A443" t="s">
        <v>198</v>
      </c>
      <c r="B443" t="s">
        <v>204</v>
      </c>
      <c r="C443" s="70" t="s">
        <v>2</v>
      </c>
      <c r="D443">
        <v>0</v>
      </c>
      <c r="E443" s="70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T443" s="44"/>
    </row>
    <row r="444" spans="1:176" x14ac:dyDescent="0.2">
      <c r="A444" t="s">
        <v>198</v>
      </c>
      <c r="B444" t="s">
        <v>1</v>
      </c>
      <c r="C444" s="70">
        <v>41773</v>
      </c>
      <c r="D444">
        <v>0</v>
      </c>
      <c r="E444" s="70">
        <v>22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T444" s="44"/>
    </row>
    <row r="445" spans="1:176" x14ac:dyDescent="0.2">
      <c r="A445" t="s">
        <v>198</v>
      </c>
      <c r="B445" t="s">
        <v>1</v>
      </c>
      <c r="C445" s="70">
        <v>41820</v>
      </c>
      <c r="D445">
        <v>0</v>
      </c>
      <c r="E445" s="70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T445" s="44"/>
    </row>
    <row r="446" spans="1:176" x14ac:dyDescent="0.2">
      <c r="A446" t="s">
        <v>198</v>
      </c>
      <c r="B446" t="s">
        <v>1</v>
      </c>
      <c r="C446" s="70">
        <v>41827</v>
      </c>
      <c r="D446">
        <v>0</v>
      </c>
      <c r="E446" s="70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T446" s="44"/>
    </row>
    <row r="447" spans="1:176" x14ac:dyDescent="0.2">
      <c r="A447" t="s">
        <v>198</v>
      </c>
      <c r="B447" t="s">
        <v>1</v>
      </c>
      <c r="C447" s="70">
        <v>41834</v>
      </c>
      <c r="D447">
        <v>0</v>
      </c>
      <c r="E447" s="70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T447" s="44"/>
    </row>
    <row r="448" spans="1:176" x14ac:dyDescent="0.2">
      <c r="A448" t="s">
        <v>198</v>
      </c>
      <c r="B448" t="s">
        <v>1</v>
      </c>
      <c r="C448" s="70">
        <v>41848</v>
      </c>
      <c r="D448">
        <v>0</v>
      </c>
      <c r="E448" s="70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T448" s="44"/>
    </row>
    <row r="449" spans="1:176" x14ac:dyDescent="0.2">
      <c r="A449" t="s">
        <v>198</v>
      </c>
      <c r="B449" t="s">
        <v>1</v>
      </c>
      <c r="C449" s="70">
        <v>41849</v>
      </c>
      <c r="D449">
        <v>0</v>
      </c>
      <c r="E449" s="70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T449" s="44"/>
    </row>
    <row r="450" spans="1:176" x14ac:dyDescent="0.2">
      <c r="A450" t="s">
        <v>198</v>
      </c>
      <c r="B450" t="s">
        <v>1</v>
      </c>
      <c r="C450" s="70">
        <v>41850</v>
      </c>
      <c r="D450">
        <v>0</v>
      </c>
      <c r="E450" s="7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T450" s="44"/>
    </row>
    <row r="451" spans="1:176" x14ac:dyDescent="0.2">
      <c r="A451" t="s">
        <v>198</v>
      </c>
      <c r="B451" t="s">
        <v>1</v>
      </c>
      <c r="C451" s="70">
        <v>41851</v>
      </c>
      <c r="D451">
        <v>0</v>
      </c>
      <c r="E451" s="70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T451" s="44"/>
    </row>
    <row r="452" spans="1:176" x14ac:dyDescent="0.2">
      <c r="A452" t="s">
        <v>198</v>
      </c>
      <c r="B452" t="s">
        <v>1</v>
      </c>
      <c r="C452" s="70">
        <v>41852</v>
      </c>
      <c r="D452">
        <v>0</v>
      </c>
      <c r="E452" s="70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T452" s="44"/>
    </row>
    <row r="453" spans="1:176" x14ac:dyDescent="0.2">
      <c r="A453" t="s">
        <v>198</v>
      </c>
      <c r="B453" t="s">
        <v>1</v>
      </c>
      <c r="C453" s="70">
        <v>41894</v>
      </c>
      <c r="D453">
        <v>0</v>
      </c>
      <c r="E453" s="70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T453" s="44"/>
    </row>
    <row r="454" spans="1:176" x14ac:dyDescent="0.2">
      <c r="A454" t="s">
        <v>198</v>
      </c>
      <c r="B454" t="s">
        <v>1</v>
      </c>
      <c r="C454" s="70">
        <v>41897</v>
      </c>
      <c r="D454">
        <v>0</v>
      </c>
      <c r="E454" s="70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T454" s="44"/>
    </row>
    <row r="455" spans="1:176" x14ac:dyDescent="0.2">
      <c r="A455" t="s">
        <v>198</v>
      </c>
      <c r="B455" t="s">
        <v>1</v>
      </c>
      <c r="C455" s="70">
        <v>41898</v>
      </c>
      <c r="D455">
        <v>0</v>
      </c>
      <c r="E455" s="70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T455" s="44"/>
    </row>
    <row r="456" spans="1:176" x14ac:dyDescent="0.2">
      <c r="A456" t="s">
        <v>198</v>
      </c>
      <c r="B456" t="s">
        <v>1</v>
      </c>
      <c r="C456" s="70" t="s">
        <v>2</v>
      </c>
      <c r="D456">
        <v>0</v>
      </c>
      <c r="E456" s="70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T456" s="44"/>
    </row>
    <row r="457" spans="1:176" x14ac:dyDescent="0.2">
      <c r="A457" t="s">
        <v>198</v>
      </c>
      <c r="B457" t="s">
        <v>203</v>
      </c>
      <c r="C457" s="70">
        <v>41773</v>
      </c>
      <c r="D457">
        <v>0</v>
      </c>
      <c r="E457" s="70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T457" s="44"/>
    </row>
    <row r="458" spans="1:176" x14ac:dyDescent="0.2">
      <c r="A458" t="s">
        <v>198</v>
      </c>
      <c r="B458" t="s">
        <v>203</v>
      </c>
      <c r="C458" s="70">
        <v>41820</v>
      </c>
      <c r="D458">
        <v>0</v>
      </c>
      <c r="E458" s="70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T458" s="44"/>
    </row>
    <row r="459" spans="1:176" x14ac:dyDescent="0.2">
      <c r="A459" t="s">
        <v>198</v>
      </c>
      <c r="B459" t="s">
        <v>203</v>
      </c>
      <c r="C459" s="70">
        <v>41827</v>
      </c>
      <c r="D459">
        <v>0</v>
      </c>
      <c r="E459" s="70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T459" s="44"/>
    </row>
    <row r="460" spans="1:176" x14ac:dyDescent="0.2">
      <c r="A460" t="s">
        <v>198</v>
      </c>
      <c r="B460" t="s">
        <v>203</v>
      </c>
      <c r="C460" s="70">
        <v>41834</v>
      </c>
      <c r="D460">
        <v>0</v>
      </c>
      <c r="E460" s="7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T460" s="44"/>
    </row>
    <row r="461" spans="1:176" x14ac:dyDescent="0.2">
      <c r="A461" t="s">
        <v>198</v>
      </c>
      <c r="B461" t="s">
        <v>203</v>
      </c>
      <c r="C461" s="70">
        <v>41848</v>
      </c>
      <c r="D461">
        <v>0</v>
      </c>
      <c r="E461" s="70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T461" s="44"/>
    </row>
    <row r="462" spans="1:176" x14ac:dyDescent="0.2">
      <c r="A462" t="s">
        <v>198</v>
      </c>
      <c r="B462" t="s">
        <v>203</v>
      </c>
      <c r="C462" s="70">
        <v>41849</v>
      </c>
      <c r="D462">
        <v>0</v>
      </c>
      <c r="E462" s="70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T462" s="44"/>
    </row>
    <row r="463" spans="1:176" x14ac:dyDescent="0.2">
      <c r="A463" t="s">
        <v>198</v>
      </c>
      <c r="B463" t="s">
        <v>203</v>
      </c>
      <c r="C463" s="70">
        <v>41850</v>
      </c>
      <c r="D463">
        <v>0</v>
      </c>
      <c r="E463" s="70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T463" s="44"/>
    </row>
    <row r="464" spans="1:176" x14ac:dyDescent="0.2">
      <c r="A464" t="s">
        <v>198</v>
      </c>
      <c r="B464" t="s">
        <v>203</v>
      </c>
      <c r="C464" s="70">
        <v>41851</v>
      </c>
      <c r="D464">
        <v>0</v>
      </c>
      <c r="E464" s="70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T464" s="44"/>
    </row>
    <row r="465" spans="1:176" x14ac:dyDescent="0.2">
      <c r="A465" t="s">
        <v>198</v>
      </c>
      <c r="B465" t="s">
        <v>203</v>
      </c>
      <c r="C465" s="70">
        <v>41852</v>
      </c>
      <c r="D465">
        <v>0</v>
      </c>
      <c r="E465" s="70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T465" s="44"/>
    </row>
    <row r="466" spans="1:176" x14ac:dyDescent="0.2">
      <c r="A466" t="s">
        <v>198</v>
      </c>
      <c r="B466" t="s">
        <v>203</v>
      </c>
      <c r="C466" s="70">
        <v>41894</v>
      </c>
      <c r="D466">
        <v>0</v>
      </c>
      <c r="E466" s="70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T466" s="44"/>
    </row>
    <row r="467" spans="1:176" x14ac:dyDescent="0.2">
      <c r="A467" t="s">
        <v>198</v>
      </c>
      <c r="B467" t="s">
        <v>203</v>
      </c>
      <c r="C467" s="70">
        <v>41897</v>
      </c>
      <c r="D467">
        <v>0</v>
      </c>
      <c r="E467" s="70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T467" s="44"/>
    </row>
    <row r="468" spans="1:176" x14ac:dyDescent="0.2">
      <c r="A468" t="s">
        <v>198</v>
      </c>
      <c r="B468" t="s">
        <v>203</v>
      </c>
      <c r="C468" s="70">
        <v>41898</v>
      </c>
      <c r="D468">
        <v>0</v>
      </c>
      <c r="E468" s="70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T468" s="44"/>
    </row>
    <row r="469" spans="1:176" x14ac:dyDescent="0.2">
      <c r="A469" t="s">
        <v>198</v>
      </c>
      <c r="B469" t="s">
        <v>203</v>
      </c>
      <c r="C469" s="70" t="s">
        <v>2</v>
      </c>
      <c r="D469">
        <v>0</v>
      </c>
      <c r="E469" s="70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T469" s="44"/>
    </row>
    <row r="470" spans="1:176" x14ac:dyDescent="0.2">
      <c r="E470" s="70"/>
      <c r="FT470" s="44"/>
    </row>
    <row r="471" spans="1:176" x14ac:dyDescent="0.2">
      <c r="E471" s="70"/>
      <c r="FT471" s="44"/>
    </row>
    <row r="472" spans="1:176" x14ac:dyDescent="0.2">
      <c r="E472" s="70"/>
      <c r="FT472" s="44"/>
    </row>
    <row r="473" spans="1:176" x14ac:dyDescent="0.2">
      <c r="E473" s="70"/>
      <c r="FT473" s="44"/>
    </row>
    <row r="474" spans="1:176" x14ac:dyDescent="0.2">
      <c r="E474" s="70"/>
      <c r="FT474" s="44"/>
    </row>
    <row r="475" spans="1:176" x14ac:dyDescent="0.2">
      <c r="E475" s="70"/>
      <c r="FT475" s="44"/>
    </row>
    <row r="476" spans="1:176" x14ac:dyDescent="0.2">
      <c r="E476" s="70"/>
      <c r="FT476" s="44"/>
    </row>
    <row r="477" spans="1:176" x14ac:dyDescent="0.2">
      <c r="E477" s="70"/>
      <c r="FT477" s="44"/>
    </row>
    <row r="478" spans="1:176" x14ac:dyDescent="0.2">
      <c r="E478" s="70"/>
      <c r="FT478" s="44"/>
    </row>
    <row r="479" spans="1:176" x14ac:dyDescent="0.2">
      <c r="E479" s="70"/>
      <c r="FT479" s="44"/>
    </row>
    <row r="480" spans="1:176" x14ac:dyDescent="0.2">
      <c r="E480" s="70"/>
      <c r="FT480" s="44"/>
    </row>
    <row r="481" spans="5:176" x14ac:dyDescent="0.2">
      <c r="E481" s="70"/>
      <c r="FT481" s="44"/>
    </row>
    <row r="482" spans="5:176" x14ac:dyDescent="0.2">
      <c r="E482" s="70"/>
      <c r="FT482" s="44"/>
    </row>
    <row r="483" spans="5:176" x14ac:dyDescent="0.2">
      <c r="E483" s="70"/>
      <c r="FT483" s="44"/>
    </row>
    <row r="484" spans="5:176" x14ac:dyDescent="0.2">
      <c r="E484" s="70"/>
      <c r="FT484" s="44"/>
    </row>
    <row r="485" spans="5:176" x14ac:dyDescent="0.2">
      <c r="E485" s="70"/>
      <c r="FT485" s="44"/>
    </row>
    <row r="486" spans="5:176" x14ac:dyDescent="0.2">
      <c r="E486" s="70"/>
      <c r="FT486" s="44"/>
    </row>
    <row r="487" spans="5:176" x14ac:dyDescent="0.2">
      <c r="E487" s="70"/>
      <c r="FT487" s="44"/>
    </row>
    <row r="488" spans="5:176" x14ac:dyDescent="0.2">
      <c r="E488" s="70"/>
      <c r="FT488" s="44"/>
    </row>
    <row r="489" spans="5:176" x14ac:dyDescent="0.2">
      <c r="E489" s="70"/>
      <c r="FT489" s="44"/>
    </row>
    <row r="490" spans="5:176" x14ac:dyDescent="0.2">
      <c r="E490" s="70"/>
      <c r="FT490" s="44"/>
    </row>
    <row r="491" spans="5:176" x14ac:dyDescent="0.2">
      <c r="E491" s="70"/>
      <c r="FT491" s="44"/>
    </row>
    <row r="492" spans="5:176" x14ac:dyDescent="0.2">
      <c r="E492" s="70"/>
      <c r="FT492" s="44"/>
    </row>
    <row r="493" spans="5:176" x14ac:dyDescent="0.2">
      <c r="E493" s="70"/>
      <c r="FT493" s="44"/>
    </row>
    <row r="494" spans="5:176" x14ac:dyDescent="0.2">
      <c r="E494" s="70"/>
      <c r="FT494" s="44"/>
    </row>
    <row r="495" spans="5:176" x14ac:dyDescent="0.2">
      <c r="E495" s="70"/>
      <c r="FT495" s="44"/>
    </row>
    <row r="496" spans="5:176" x14ac:dyDescent="0.2">
      <c r="E496" s="70"/>
      <c r="FT496" s="44"/>
    </row>
    <row r="497" spans="5:176" x14ac:dyDescent="0.2">
      <c r="E497" s="70"/>
      <c r="FT497" s="44"/>
    </row>
    <row r="498" spans="5:176" x14ac:dyDescent="0.2">
      <c r="E498" s="70"/>
      <c r="FT498" s="44"/>
    </row>
    <row r="499" spans="5:176" x14ac:dyDescent="0.2">
      <c r="E499" s="70"/>
      <c r="FT499" s="44"/>
    </row>
    <row r="500" spans="5:176" x14ac:dyDescent="0.2">
      <c r="E500" s="70"/>
      <c r="FT500" s="44"/>
    </row>
    <row r="501" spans="5:176" x14ac:dyDescent="0.2">
      <c r="E501" s="70"/>
      <c r="FT501" s="44"/>
    </row>
    <row r="502" spans="5:176" x14ac:dyDescent="0.2">
      <c r="E502" s="70"/>
      <c r="FT502" s="44"/>
    </row>
    <row r="503" spans="5:176" x14ac:dyDescent="0.2">
      <c r="E503" s="70"/>
      <c r="FT503" s="44"/>
    </row>
    <row r="504" spans="5:176" x14ac:dyDescent="0.2">
      <c r="E504" s="70"/>
      <c r="FT504" s="44"/>
    </row>
    <row r="505" spans="5:176" x14ac:dyDescent="0.2">
      <c r="E505" s="70"/>
      <c r="FT505" s="44"/>
    </row>
    <row r="506" spans="5:176" x14ac:dyDescent="0.2">
      <c r="E506" s="70"/>
      <c r="FT506" s="44"/>
    </row>
    <row r="507" spans="5:176" x14ac:dyDescent="0.2">
      <c r="E507" s="70"/>
      <c r="FT507" s="44"/>
    </row>
    <row r="508" spans="5:176" x14ac:dyDescent="0.2">
      <c r="E508" s="70"/>
      <c r="FT508" s="44"/>
    </row>
    <row r="509" spans="5:176" x14ac:dyDescent="0.2">
      <c r="E509" s="70"/>
      <c r="FT509" s="44"/>
    </row>
    <row r="510" spans="5:176" x14ac:dyDescent="0.2">
      <c r="E510" s="70"/>
      <c r="FT510" s="44"/>
    </row>
    <row r="511" spans="5:176" x14ac:dyDescent="0.2">
      <c r="E511" s="70"/>
      <c r="FT511" s="44"/>
    </row>
    <row r="512" spans="5:176" x14ac:dyDescent="0.2">
      <c r="E512" s="70"/>
      <c r="FT512" s="44"/>
    </row>
    <row r="513" spans="5:176" x14ac:dyDescent="0.2">
      <c r="E513" s="70"/>
      <c r="FT513" s="44"/>
    </row>
    <row r="514" spans="5:176" x14ac:dyDescent="0.2">
      <c r="E514" s="70"/>
      <c r="FT514" s="44"/>
    </row>
    <row r="515" spans="5:176" x14ac:dyDescent="0.2">
      <c r="E515" s="70"/>
      <c r="FT515" s="44"/>
    </row>
    <row r="516" spans="5:176" x14ac:dyDescent="0.2">
      <c r="E516" s="70"/>
      <c r="FT516" s="44"/>
    </row>
    <row r="517" spans="5:176" x14ac:dyDescent="0.2">
      <c r="E517" s="70"/>
      <c r="FT517" s="44"/>
    </row>
    <row r="518" spans="5:176" x14ac:dyDescent="0.2">
      <c r="E518" s="70"/>
      <c r="FT518" s="44"/>
    </row>
    <row r="519" spans="5:176" x14ac:dyDescent="0.2">
      <c r="E519" s="70"/>
      <c r="FT519" s="44"/>
    </row>
    <row r="520" spans="5:176" x14ac:dyDescent="0.2">
      <c r="E520" s="70"/>
      <c r="FT520" s="44"/>
    </row>
    <row r="521" spans="5:176" x14ac:dyDescent="0.2">
      <c r="E521" s="70"/>
      <c r="FT521" s="44"/>
    </row>
    <row r="522" spans="5:176" x14ac:dyDescent="0.2">
      <c r="E522" s="70"/>
      <c r="FT522" s="44"/>
    </row>
    <row r="523" spans="5:176" x14ac:dyDescent="0.2">
      <c r="E523" s="70"/>
      <c r="FT523" s="44"/>
    </row>
    <row r="524" spans="5:176" x14ac:dyDescent="0.2">
      <c r="E524" s="70"/>
      <c r="FT524" s="44"/>
    </row>
    <row r="525" spans="5:176" x14ac:dyDescent="0.2">
      <c r="E525" s="70"/>
      <c r="FT525" s="44"/>
    </row>
    <row r="526" spans="5:176" x14ac:dyDescent="0.2">
      <c r="E526" s="70"/>
      <c r="FT526" s="44"/>
    </row>
    <row r="527" spans="5:176" x14ac:dyDescent="0.2">
      <c r="E527" s="70"/>
      <c r="FT527" s="44"/>
    </row>
    <row r="528" spans="5:176" x14ac:dyDescent="0.2">
      <c r="E528" s="70"/>
      <c r="FT528" s="44"/>
    </row>
    <row r="529" spans="5:176" x14ac:dyDescent="0.2">
      <c r="E529" s="70"/>
      <c r="FT529" s="44"/>
    </row>
    <row r="530" spans="5:176" x14ac:dyDescent="0.2">
      <c r="E530" s="70"/>
      <c r="FT530" s="44"/>
    </row>
    <row r="531" spans="5:176" x14ac:dyDescent="0.2">
      <c r="E531" s="70"/>
      <c r="FT531" s="44"/>
    </row>
    <row r="532" spans="5:176" x14ac:dyDescent="0.2">
      <c r="E532" s="70"/>
      <c r="FT532" s="44"/>
    </row>
    <row r="533" spans="5:176" x14ac:dyDescent="0.2">
      <c r="E533" s="70"/>
      <c r="FT533" s="44"/>
    </row>
    <row r="534" spans="5:176" x14ac:dyDescent="0.2">
      <c r="E534" s="70"/>
      <c r="FT534" s="44"/>
    </row>
    <row r="535" spans="5:176" x14ac:dyDescent="0.2">
      <c r="E535" s="70"/>
      <c r="FT535" s="44"/>
    </row>
    <row r="536" spans="5:176" x14ac:dyDescent="0.2">
      <c r="E536" s="70"/>
      <c r="FT536" s="44"/>
    </row>
    <row r="537" spans="5:176" x14ac:dyDescent="0.2">
      <c r="E537" s="70"/>
      <c r="FT537" s="44"/>
    </row>
    <row r="538" spans="5:176" x14ac:dyDescent="0.2">
      <c r="E538" s="70"/>
      <c r="FT538" s="44"/>
    </row>
    <row r="539" spans="5:176" x14ac:dyDescent="0.2">
      <c r="E539" s="70"/>
      <c r="FT539" s="44"/>
    </row>
    <row r="540" spans="5:176" x14ac:dyDescent="0.2">
      <c r="E540" s="70"/>
      <c r="FT540" s="44"/>
    </row>
    <row r="541" spans="5:176" x14ac:dyDescent="0.2">
      <c r="E541" s="70"/>
      <c r="FT541" s="44"/>
    </row>
    <row r="542" spans="5:176" x14ac:dyDescent="0.2">
      <c r="E542" s="70"/>
      <c r="FT542" s="44"/>
    </row>
    <row r="543" spans="5:176" x14ac:dyDescent="0.2">
      <c r="E543" s="70"/>
      <c r="FT543" s="44"/>
    </row>
    <row r="544" spans="5:176" x14ac:dyDescent="0.2">
      <c r="E544" s="70"/>
      <c r="FT544" s="44"/>
    </row>
    <row r="545" spans="5:176" x14ac:dyDescent="0.2">
      <c r="E545" s="70"/>
      <c r="FT545" s="44"/>
    </row>
    <row r="546" spans="5:176" x14ac:dyDescent="0.2">
      <c r="E546" s="70"/>
      <c r="FT546" s="44"/>
    </row>
    <row r="547" spans="5:176" x14ac:dyDescent="0.2">
      <c r="E547" s="70"/>
      <c r="FT547" s="44"/>
    </row>
    <row r="548" spans="5:176" x14ac:dyDescent="0.2">
      <c r="E548" s="70"/>
      <c r="FT548" s="44"/>
    </row>
    <row r="549" spans="5:176" x14ac:dyDescent="0.2">
      <c r="E549" s="70"/>
      <c r="FT549" s="44"/>
    </row>
    <row r="550" spans="5:176" x14ac:dyDescent="0.2">
      <c r="E550" s="70"/>
      <c r="FT550" s="44"/>
    </row>
    <row r="551" spans="5:176" x14ac:dyDescent="0.2">
      <c r="E551" s="70"/>
      <c r="FT551" s="44"/>
    </row>
    <row r="552" spans="5:176" x14ac:dyDescent="0.2">
      <c r="E552" s="70"/>
      <c r="FT552" s="44"/>
    </row>
    <row r="553" spans="5:176" x14ac:dyDescent="0.2">
      <c r="E553" s="70"/>
      <c r="FT553" s="44"/>
    </row>
    <row r="554" spans="5:176" x14ac:dyDescent="0.2">
      <c r="E554" s="70"/>
      <c r="FT554" s="44"/>
    </row>
    <row r="555" spans="5:176" x14ac:dyDescent="0.2">
      <c r="E555" s="70"/>
      <c r="FT555" s="44"/>
    </row>
    <row r="556" spans="5:176" x14ac:dyDescent="0.2">
      <c r="E556" s="70"/>
      <c r="FT556" s="44"/>
    </row>
    <row r="557" spans="5:176" x14ac:dyDescent="0.2">
      <c r="E557" s="70"/>
      <c r="FT557" s="44"/>
    </row>
    <row r="558" spans="5:176" x14ac:dyDescent="0.2">
      <c r="E558" s="70"/>
      <c r="FT558" s="44"/>
    </row>
    <row r="559" spans="5:176" x14ac:dyDescent="0.2">
      <c r="E559" s="70"/>
      <c r="FT559" s="44"/>
    </row>
    <row r="560" spans="5:176" x14ac:dyDescent="0.2">
      <c r="E560" s="70"/>
      <c r="FT560" s="44"/>
    </row>
    <row r="561" spans="5:176" x14ac:dyDescent="0.2">
      <c r="E561" s="70"/>
      <c r="FT561" s="44"/>
    </row>
    <row r="562" spans="5:176" x14ac:dyDescent="0.2">
      <c r="E562" s="70"/>
      <c r="FT562" s="44"/>
    </row>
    <row r="563" spans="5:176" x14ac:dyDescent="0.2">
      <c r="E563" s="70"/>
      <c r="FT563" s="44"/>
    </row>
    <row r="564" spans="5:176" x14ac:dyDescent="0.2">
      <c r="E564" s="70"/>
      <c r="FT564" s="44"/>
    </row>
    <row r="565" spans="5:176" x14ac:dyDescent="0.2">
      <c r="E565" s="70"/>
      <c r="FT565" s="44"/>
    </row>
    <row r="566" spans="5:176" x14ac:dyDescent="0.2">
      <c r="E566" s="70"/>
      <c r="FT566" s="44"/>
    </row>
    <row r="567" spans="5:176" x14ac:dyDescent="0.2">
      <c r="E567" s="70"/>
      <c r="FT567" s="44"/>
    </row>
    <row r="568" spans="5:176" x14ac:dyDescent="0.2">
      <c r="E568" s="70"/>
      <c r="FT568" s="44"/>
    </row>
    <row r="569" spans="5:176" x14ac:dyDescent="0.2">
      <c r="E569" s="70"/>
      <c r="FT569" s="44"/>
    </row>
    <row r="570" spans="5:176" x14ac:dyDescent="0.2">
      <c r="E570" s="70"/>
      <c r="FT570" s="44"/>
    </row>
    <row r="571" spans="5:176" x14ac:dyDescent="0.2">
      <c r="E571" s="70"/>
      <c r="FT571" s="44"/>
    </row>
    <row r="572" spans="5:176" x14ac:dyDescent="0.2">
      <c r="E572" s="70"/>
      <c r="FT572" s="44"/>
    </row>
    <row r="573" spans="5:176" x14ac:dyDescent="0.2">
      <c r="E573" s="70"/>
      <c r="FT573" s="44"/>
    </row>
    <row r="574" spans="5:176" x14ac:dyDescent="0.2">
      <c r="E574" s="70"/>
      <c r="FT574" s="44"/>
    </row>
    <row r="575" spans="5:176" x14ac:dyDescent="0.2">
      <c r="E575" s="70"/>
      <c r="FT575" s="44"/>
    </row>
    <row r="576" spans="5:176" x14ac:dyDescent="0.2">
      <c r="E576" s="70"/>
      <c r="FT576" s="44"/>
    </row>
    <row r="577" spans="5:176" x14ac:dyDescent="0.2">
      <c r="E577" s="70"/>
      <c r="FT577" s="44"/>
    </row>
    <row r="578" spans="5:176" x14ac:dyDescent="0.2">
      <c r="E578" s="70"/>
      <c r="FT578" s="44"/>
    </row>
    <row r="579" spans="5:176" x14ac:dyDescent="0.2">
      <c r="E579" s="70"/>
      <c r="FT579" s="44"/>
    </row>
    <row r="580" spans="5:176" x14ac:dyDescent="0.2">
      <c r="E580" s="70"/>
      <c r="FT580" s="44"/>
    </row>
    <row r="581" spans="5:176" x14ac:dyDescent="0.2">
      <c r="E581" s="70"/>
      <c r="FT581" s="44"/>
    </row>
    <row r="582" spans="5:176" x14ac:dyDescent="0.2">
      <c r="E582" s="70"/>
      <c r="FT582" s="44"/>
    </row>
    <row r="583" spans="5:176" x14ac:dyDescent="0.2">
      <c r="E583" s="70"/>
      <c r="FT583" s="44"/>
    </row>
    <row r="584" spans="5:176" x14ac:dyDescent="0.2">
      <c r="E584" s="70"/>
      <c r="FT584" s="44"/>
    </row>
    <row r="585" spans="5:176" x14ac:dyDescent="0.2">
      <c r="E585" s="70"/>
      <c r="FT585" s="44"/>
    </row>
    <row r="586" spans="5:176" x14ac:dyDescent="0.2">
      <c r="E586" s="70"/>
      <c r="FT586" s="44"/>
    </row>
    <row r="587" spans="5:176" x14ac:dyDescent="0.2">
      <c r="E587" s="70"/>
      <c r="FT587" s="44"/>
    </row>
    <row r="588" spans="5:176" x14ac:dyDescent="0.2">
      <c r="E588" s="70"/>
      <c r="FT588" s="44"/>
    </row>
    <row r="589" spans="5:176" x14ac:dyDescent="0.2">
      <c r="E589" s="70"/>
      <c r="FT589" s="44"/>
    </row>
    <row r="590" spans="5:176" x14ac:dyDescent="0.2">
      <c r="E590" s="70"/>
      <c r="FT590" s="44"/>
    </row>
    <row r="591" spans="5:176" x14ac:dyDescent="0.2">
      <c r="E591" s="70"/>
      <c r="FT591" s="44"/>
    </row>
    <row r="592" spans="5:176" x14ac:dyDescent="0.2">
      <c r="E592" s="70"/>
      <c r="FT592" s="44"/>
    </row>
    <row r="593" spans="5:176" x14ac:dyDescent="0.2">
      <c r="E593" s="70"/>
      <c r="FT593" s="44"/>
    </row>
    <row r="594" spans="5:176" x14ac:dyDescent="0.2">
      <c r="E594" s="70"/>
      <c r="FT594" s="44"/>
    </row>
    <row r="595" spans="5:176" x14ac:dyDescent="0.2">
      <c r="E595" s="70"/>
      <c r="FT595" s="44"/>
    </row>
    <row r="596" spans="5:176" x14ac:dyDescent="0.2">
      <c r="E596" s="70"/>
      <c r="FT596" s="44"/>
    </row>
    <row r="597" spans="5:176" x14ac:dyDescent="0.2">
      <c r="E597" s="70"/>
      <c r="FT597" s="44"/>
    </row>
    <row r="598" spans="5:176" x14ac:dyDescent="0.2">
      <c r="E598" s="70"/>
      <c r="FT598" s="44"/>
    </row>
    <row r="599" spans="5:176" x14ac:dyDescent="0.2">
      <c r="E599" s="70"/>
      <c r="FT599" s="44"/>
    </row>
    <row r="600" spans="5:176" x14ac:dyDescent="0.2">
      <c r="E600" s="70"/>
      <c r="FT600" s="44"/>
    </row>
    <row r="601" spans="5:176" x14ac:dyDescent="0.2">
      <c r="E601" s="70"/>
      <c r="FT601" s="44"/>
    </row>
    <row r="602" spans="5:176" x14ac:dyDescent="0.2">
      <c r="E602" s="70"/>
      <c r="FT602" s="44"/>
    </row>
    <row r="603" spans="5:176" x14ac:dyDescent="0.2">
      <c r="E603" s="70"/>
      <c r="FT603" s="44"/>
    </row>
    <row r="604" spans="5:176" x14ac:dyDescent="0.2">
      <c r="E604" s="70"/>
      <c r="FT604" s="44"/>
    </row>
    <row r="605" spans="5:176" x14ac:dyDescent="0.2">
      <c r="E605" s="70"/>
      <c r="FT605" s="44"/>
    </row>
    <row r="606" spans="5:176" x14ac:dyDescent="0.2">
      <c r="E606" s="70"/>
      <c r="FT606" s="44"/>
    </row>
    <row r="607" spans="5:176" x14ac:dyDescent="0.2">
      <c r="E607" s="70"/>
      <c r="FT607" s="44"/>
    </row>
    <row r="608" spans="5:176" x14ac:dyDescent="0.2">
      <c r="E608" s="70"/>
      <c r="FT608" s="44"/>
    </row>
    <row r="609" spans="5:176" x14ac:dyDescent="0.2">
      <c r="E609" s="70"/>
      <c r="FT609" s="44"/>
    </row>
    <row r="610" spans="5:176" x14ac:dyDescent="0.2">
      <c r="E610" s="70"/>
      <c r="FT610" s="44"/>
    </row>
    <row r="611" spans="5:176" x14ac:dyDescent="0.2">
      <c r="E611" s="70"/>
      <c r="FT611" s="44"/>
    </row>
    <row r="612" spans="5:176" x14ac:dyDescent="0.2">
      <c r="E612" s="70"/>
      <c r="FT612" s="44"/>
    </row>
    <row r="613" spans="5:176" x14ac:dyDescent="0.2">
      <c r="E613" s="70"/>
      <c r="FT613" s="44"/>
    </row>
    <row r="614" spans="5:176" x14ac:dyDescent="0.2">
      <c r="E614" s="70"/>
      <c r="FT614" s="44"/>
    </row>
    <row r="615" spans="5:176" x14ac:dyDescent="0.2">
      <c r="E615" s="70"/>
      <c r="FT615" s="44"/>
    </row>
    <row r="616" spans="5:176" x14ac:dyDescent="0.2">
      <c r="E616" s="70"/>
      <c r="FT616" s="44"/>
    </row>
    <row r="617" spans="5:176" x14ac:dyDescent="0.2">
      <c r="E617" s="70"/>
      <c r="FT617" s="44"/>
    </row>
    <row r="618" spans="5:176" x14ac:dyDescent="0.2">
      <c r="E618" s="70"/>
      <c r="FT618" s="44"/>
    </row>
    <row r="619" spans="5:176" x14ac:dyDescent="0.2">
      <c r="E619" s="70"/>
      <c r="FT619" s="44"/>
    </row>
    <row r="620" spans="5:176" x14ac:dyDescent="0.2">
      <c r="E620" s="70"/>
      <c r="FT620" s="44"/>
    </row>
    <row r="621" spans="5:176" x14ac:dyDescent="0.2">
      <c r="E621" s="70"/>
      <c r="FT621" s="44"/>
    </row>
    <row r="622" spans="5:176" x14ac:dyDescent="0.2">
      <c r="E622" s="70"/>
      <c r="FT622" s="44"/>
    </row>
    <row r="623" spans="5:176" x14ac:dyDescent="0.2">
      <c r="E623" s="70"/>
      <c r="FT623" s="44"/>
    </row>
    <row r="624" spans="5:176" x14ac:dyDescent="0.2">
      <c r="E624" s="70"/>
      <c r="FT624" s="44"/>
    </row>
    <row r="625" spans="5:176" x14ac:dyDescent="0.2">
      <c r="E625" s="70"/>
      <c r="FT625" s="44"/>
    </row>
    <row r="626" spans="5:176" x14ac:dyDescent="0.2">
      <c r="E626" s="70"/>
      <c r="FT626" s="44"/>
    </row>
    <row r="627" spans="5:176" x14ac:dyDescent="0.2">
      <c r="E627" s="70"/>
      <c r="FT627" s="44"/>
    </row>
    <row r="628" spans="5:176" x14ac:dyDescent="0.2">
      <c r="E628" s="70"/>
      <c r="FT628" s="44"/>
    </row>
    <row r="629" spans="5:176" x14ac:dyDescent="0.2">
      <c r="E629" s="70"/>
      <c r="FT629" s="44"/>
    </row>
    <row r="630" spans="5:176" x14ac:dyDescent="0.2">
      <c r="E630" s="70"/>
      <c r="FT630" s="44"/>
    </row>
    <row r="631" spans="5:176" x14ac:dyDescent="0.2">
      <c r="E631" s="70"/>
      <c r="FT631" s="44"/>
    </row>
    <row r="632" spans="5:176" x14ac:dyDescent="0.2">
      <c r="E632" s="70"/>
      <c r="FT632" s="44"/>
    </row>
    <row r="633" spans="5:176" x14ac:dyDescent="0.2">
      <c r="E633" s="70"/>
      <c r="FT633" s="44"/>
    </row>
    <row r="634" spans="5:176" x14ac:dyDescent="0.2">
      <c r="E634" s="70"/>
      <c r="FT634" s="44"/>
    </row>
    <row r="635" spans="5:176" x14ac:dyDescent="0.2">
      <c r="E635" s="70"/>
      <c r="FT635" s="44"/>
    </row>
    <row r="636" spans="5:176" x14ac:dyDescent="0.2">
      <c r="E636" s="70"/>
      <c r="FT636" s="44"/>
    </row>
    <row r="637" spans="5:176" x14ac:dyDescent="0.2">
      <c r="E637" s="70"/>
      <c r="FT637" s="44"/>
    </row>
    <row r="638" spans="5:176" x14ac:dyDescent="0.2">
      <c r="E638" s="70"/>
      <c r="FT638" s="44"/>
    </row>
    <row r="639" spans="5:176" x14ac:dyDescent="0.2">
      <c r="E639" s="70"/>
      <c r="FT639" s="44"/>
    </row>
    <row r="640" spans="5:176" x14ac:dyDescent="0.2">
      <c r="E640" s="70"/>
      <c r="FT640" s="44"/>
    </row>
    <row r="641" spans="5:176" x14ac:dyDescent="0.2">
      <c r="E641" s="70"/>
      <c r="FT641" s="44"/>
    </row>
    <row r="642" spans="5:176" x14ac:dyDescent="0.2">
      <c r="E642" s="70"/>
      <c r="FT642" s="44"/>
    </row>
    <row r="643" spans="5:176" x14ac:dyDescent="0.2">
      <c r="E643" s="70"/>
      <c r="FT643" s="44"/>
    </row>
    <row r="644" spans="5:176" x14ac:dyDescent="0.2">
      <c r="E644" s="70"/>
      <c r="FT644" s="44"/>
    </row>
    <row r="645" spans="5:176" x14ac:dyDescent="0.2">
      <c r="E645" s="70"/>
      <c r="FT645" s="44"/>
    </row>
    <row r="646" spans="5:176" x14ac:dyDescent="0.2">
      <c r="E646" s="70"/>
      <c r="FT646" s="44"/>
    </row>
    <row r="647" spans="5:176" x14ac:dyDescent="0.2">
      <c r="E647" s="70"/>
      <c r="FT647" s="44"/>
    </row>
    <row r="648" spans="5:176" x14ac:dyDescent="0.2">
      <c r="E648" s="70"/>
      <c r="FT648" s="44"/>
    </row>
    <row r="649" spans="5:176" x14ac:dyDescent="0.2">
      <c r="E649" s="70"/>
      <c r="FT649" s="44"/>
    </row>
    <row r="650" spans="5:176" x14ac:dyDescent="0.2">
      <c r="E650" s="70"/>
      <c r="FT650" s="44"/>
    </row>
    <row r="651" spans="5:176" x14ac:dyDescent="0.2">
      <c r="E651" s="70"/>
      <c r="FT651" s="44"/>
    </row>
    <row r="652" spans="5:176" x14ac:dyDescent="0.2">
      <c r="E652" s="70"/>
      <c r="FT652" s="44"/>
    </row>
    <row r="653" spans="5:176" x14ac:dyDescent="0.2">
      <c r="E653" s="70"/>
      <c r="FT653" s="44"/>
    </row>
    <row r="654" spans="5:176" x14ac:dyDescent="0.2">
      <c r="E654" s="70"/>
      <c r="FT654" s="44"/>
    </row>
    <row r="655" spans="5:176" x14ac:dyDescent="0.2">
      <c r="E655" s="70"/>
      <c r="FT655" s="44"/>
    </row>
    <row r="656" spans="5:176" x14ac:dyDescent="0.2">
      <c r="E656" s="70"/>
      <c r="FT656" s="44"/>
    </row>
    <row r="657" spans="5:176" x14ac:dyDescent="0.2">
      <c r="E657" s="70"/>
      <c r="FT657" s="44"/>
    </row>
    <row r="658" spans="5:176" x14ac:dyDescent="0.2">
      <c r="E658" s="70"/>
      <c r="FT658" s="44"/>
    </row>
    <row r="659" spans="5:176" x14ac:dyDescent="0.2">
      <c r="E659" s="70"/>
      <c r="FT659" s="44"/>
    </row>
    <row r="660" spans="5:176" x14ac:dyDescent="0.2">
      <c r="E660" s="70"/>
      <c r="FT660" s="44"/>
    </row>
    <row r="661" spans="5:176" x14ac:dyDescent="0.2">
      <c r="E661" s="70"/>
      <c r="FT661" s="44"/>
    </row>
    <row r="662" spans="5:176" x14ac:dyDescent="0.2">
      <c r="E662" s="70"/>
      <c r="FT662" s="44"/>
    </row>
    <row r="663" spans="5:176" x14ac:dyDescent="0.2">
      <c r="E663" s="70"/>
      <c r="FT663" s="44"/>
    </row>
    <row r="664" spans="5:176" x14ac:dyDescent="0.2">
      <c r="E664" s="70"/>
      <c r="FT664" s="44"/>
    </row>
    <row r="665" spans="5:176" x14ac:dyDescent="0.2">
      <c r="E665" s="70"/>
      <c r="FT665" s="44"/>
    </row>
    <row r="666" spans="5:176" x14ac:dyDescent="0.2">
      <c r="E666" s="70"/>
      <c r="FT666" s="44"/>
    </row>
    <row r="667" spans="5:176" x14ac:dyDescent="0.2">
      <c r="E667" s="70"/>
      <c r="FT667" s="44"/>
    </row>
    <row r="668" spans="5:176" x14ac:dyDescent="0.2">
      <c r="E668" s="70"/>
      <c r="FT668" s="44"/>
    </row>
    <row r="669" spans="5:176" x14ac:dyDescent="0.2">
      <c r="E669" s="70"/>
      <c r="FT669" s="44"/>
    </row>
    <row r="670" spans="5:176" x14ac:dyDescent="0.2">
      <c r="E670" s="70"/>
      <c r="FT670" s="44"/>
    </row>
    <row r="671" spans="5:176" x14ac:dyDescent="0.2">
      <c r="E671" s="70"/>
      <c r="FT671" s="44"/>
    </row>
    <row r="672" spans="5:176" x14ac:dyDescent="0.2">
      <c r="E672" s="70"/>
      <c r="FT672" s="44"/>
    </row>
    <row r="673" spans="5:176" x14ac:dyDescent="0.2">
      <c r="E673" s="70"/>
      <c r="FT673" s="44"/>
    </row>
    <row r="674" spans="5:176" x14ac:dyDescent="0.2">
      <c r="E674" s="70"/>
      <c r="FT674" s="44"/>
    </row>
    <row r="675" spans="5:176" x14ac:dyDescent="0.2">
      <c r="E675" s="70"/>
      <c r="FT675" s="44"/>
    </row>
    <row r="676" spans="5:176" x14ac:dyDescent="0.2">
      <c r="E676" s="70"/>
      <c r="FT676" s="44"/>
    </row>
    <row r="677" spans="5:176" x14ac:dyDescent="0.2">
      <c r="E677" s="70"/>
      <c r="FT677" s="44"/>
    </row>
    <row r="678" spans="5:176" x14ac:dyDescent="0.2">
      <c r="E678" s="70"/>
      <c r="FT678" s="44"/>
    </row>
    <row r="679" spans="5:176" x14ac:dyDescent="0.2">
      <c r="E679" s="70"/>
      <c r="FT679" s="44"/>
    </row>
    <row r="680" spans="5:176" x14ac:dyDescent="0.2">
      <c r="E680" s="70"/>
      <c r="FT680" s="44"/>
    </row>
    <row r="681" spans="5:176" x14ac:dyDescent="0.2">
      <c r="E681" s="70"/>
      <c r="FT681" s="44"/>
    </row>
    <row r="682" spans="5:176" x14ac:dyDescent="0.2">
      <c r="E682" s="70"/>
      <c r="FT682" s="44"/>
    </row>
    <row r="683" spans="5:176" x14ac:dyDescent="0.2">
      <c r="E683" s="70"/>
      <c r="FT683" s="44"/>
    </row>
    <row r="684" spans="5:176" x14ac:dyDescent="0.2">
      <c r="E684" s="70"/>
      <c r="FT684" s="44"/>
    </row>
    <row r="685" spans="5:176" x14ac:dyDescent="0.2">
      <c r="E685" s="70"/>
      <c r="FT685" s="44"/>
    </row>
    <row r="686" spans="5:176" x14ac:dyDescent="0.2">
      <c r="E686" s="70"/>
      <c r="FT686" s="44"/>
    </row>
    <row r="687" spans="5:176" x14ac:dyDescent="0.2">
      <c r="E687" s="70"/>
      <c r="FT687" s="44"/>
    </row>
    <row r="688" spans="5:176" x14ac:dyDescent="0.2">
      <c r="E688" s="70"/>
      <c r="FT688" s="44"/>
    </row>
    <row r="689" spans="5:176" x14ac:dyDescent="0.2">
      <c r="E689" s="70"/>
      <c r="FT689" s="44"/>
    </row>
    <row r="690" spans="5:176" x14ac:dyDescent="0.2">
      <c r="E690" s="70"/>
      <c r="FT690" s="44"/>
    </row>
    <row r="691" spans="5:176" x14ac:dyDescent="0.2">
      <c r="E691" s="70"/>
      <c r="FT691" s="44"/>
    </row>
    <row r="692" spans="5:176" x14ac:dyDescent="0.2">
      <c r="E692" s="70"/>
      <c r="FT692" s="44"/>
    </row>
    <row r="693" spans="5:176" x14ac:dyDescent="0.2">
      <c r="E693" s="70"/>
      <c r="FT693" s="44"/>
    </row>
    <row r="694" spans="5:176" x14ac:dyDescent="0.2">
      <c r="E694" s="70"/>
      <c r="FT694" s="44"/>
    </row>
    <row r="695" spans="5:176" x14ac:dyDescent="0.2">
      <c r="E695" s="70"/>
      <c r="FT695" s="44"/>
    </row>
    <row r="696" spans="5:176" x14ac:dyDescent="0.2">
      <c r="E696" s="70"/>
      <c r="FT696" s="44"/>
    </row>
    <row r="697" spans="5:176" x14ac:dyDescent="0.2">
      <c r="E697" s="70"/>
      <c r="FT697" s="44"/>
    </row>
    <row r="698" spans="5:176" x14ac:dyDescent="0.2">
      <c r="E698" s="70"/>
      <c r="FT698" s="44"/>
    </row>
    <row r="699" spans="5:176" x14ac:dyDescent="0.2">
      <c r="E699" s="70"/>
      <c r="FT699" s="44"/>
    </row>
    <row r="700" spans="5:176" x14ac:dyDescent="0.2">
      <c r="E700" s="70"/>
      <c r="FT700" s="44"/>
    </row>
    <row r="701" spans="5:176" x14ac:dyDescent="0.2">
      <c r="E701" s="70"/>
      <c r="FT701" s="44"/>
    </row>
    <row r="702" spans="5:176" x14ac:dyDescent="0.2">
      <c r="E702" s="70"/>
      <c r="FT702" s="44"/>
    </row>
    <row r="703" spans="5:176" x14ac:dyDescent="0.2">
      <c r="E703" s="70"/>
      <c r="FT703" s="44"/>
    </row>
    <row r="704" spans="5:176" x14ac:dyDescent="0.2">
      <c r="E704" s="70"/>
      <c r="FT704" s="44"/>
    </row>
    <row r="705" spans="5:176" x14ac:dyDescent="0.2">
      <c r="E705" s="70"/>
      <c r="FT705" s="44"/>
    </row>
    <row r="706" spans="5:176" x14ac:dyDescent="0.2">
      <c r="E706" s="70"/>
      <c r="FT706" s="44"/>
    </row>
    <row r="707" spans="5:176" x14ac:dyDescent="0.2">
      <c r="E707" s="70"/>
      <c r="FT707" s="44"/>
    </row>
    <row r="708" spans="5:176" x14ac:dyDescent="0.2">
      <c r="E708" s="70"/>
      <c r="FT708" s="44"/>
    </row>
    <row r="709" spans="5:176" x14ac:dyDescent="0.2">
      <c r="E709" s="70"/>
      <c r="FT709" s="44"/>
    </row>
    <row r="710" spans="5:176" x14ac:dyDescent="0.2">
      <c r="E710" s="70"/>
      <c r="FT710" s="44"/>
    </row>
    <row r="711" spans="5:176" x14ac:dyDescent="0.2">
      <c r="E711" s="70"/>
      <c r="FT711" s="44"/>
    </row>
    <row r="712" spans="5:176" x14ac:dyDescent="0.2">
      <c r="E712" s="70"/>
      <c r="FT712" s="44"/>
    </row>
    <row r="713" spans="5:176" x14ac:dyDescent="0.2">
      <c r="E713" s="70"/>
      <c r="FT713" s="44"/>
    </row>
    <row r="714" spans="5:176" x14ac:dyDescent="0.2">
      <c r="E714" s="70"/>
      <c r="FT714" s="44"/>
    </row>
    <row r="715" spans="5:176" x14ac:dyDescent="0.2">
      <c r="E715" s="70"/>
      <c r="FT715" s="44"/>
    </row>
    <row r="716" spans="5:176" x14ac:dyDescent="0.2">
      <c r="E716" s="70"/>
      <c r="FT716" s="44"/>
    </row>
    <row r="717" spans="5:176" x14ac:dyDescent="0.2">
      <c r="E717" s="70"/>
      <c r="FT717" s="44"/>
    </row>
    <row r="718" spans="5:176" x14ac:dyDescent="0.2">
      <c r="E718" s="70"/>
      <c r="FT718" s="44"/>
    </row>
    <row r="719" spans="5:176" x14ac:dyDescent="0.2">
      <c r="E719" s="70"/>
      <c r="FT719" s="44"/>
    </row>
    <row r="720" spans="5:176" x14ac:dyDescent="0.2">
      <c r="E720" s="70"/>
      <c r="FT720" s="44"/>
    </row>
    <row r="721" spans="5:176" x14ac:dyDescent="0.2">
      <c r="E721" s="70"/>
      <c r="FT721" s="44"/>
    </row>
    <row r="722" spans="5:176" x14ac:dyDescent="0.2">
      <c r="E722" s="70"/>
      <c r="FT722" s="44"/>
    </row>
    <row r="723" spans="5:176" x14ac:dyDescent="0.2">
      <c r="E723" s="70"/>
      <c r="FT723" s="44"/>
    </row>
    <row r="724" spans="5:176" x14ac:dyDescent="0.2">
      <c r="E724" s="70"/>
      <c r="FT724" s="44"/>
    </row>
    <row r="725" spans="5:176" x14ac:dyDescent="0.2">
      <c r="E725" s="70"/>
      <c r="FT725" s="44"/>
    </row>
    <row r="726" spans="5:176" x14ac:dyDescent="0.2">
      <c r="E726" s="70"/>
      <c r="FT726" s="44"/>
    </row>
    <row r="727" spans="5:176" x14ac:dyDescent="0.2">
      <c r="E727" s="70"/>
      <c r="FT727" s="44"/>
    </row>
    <row r="728" spans="5:176" x14ac:dyDescent="0.2">
      <c r="E728" s="70"/>
      <c r="FT728" s="44"/>
    </row>
    <row r="729" spans="5:176" x14ac:dyDescent="0.2">
      <c r="E729" s="70"/>
      <c r="FT729" s="44"/>
    </row>
    <row r="730" spans="5:176" x14ac:dyDescent="0.2">
      <c r="E730" s="70"/>
      <c r="FT730" s="44"/>
    </row>
    <row r="731" spans="5:176" x14ac:dyDescent="0.2">
      <c r="E731" s="70"/>
      <c r="FT731" s="44"/>
    </row>
    <row r="732" spans="5:176" x14ac:dyDescent="0.2">
      <c r="E732" s="70"/>
      <c r="FT732" s="44"/>
    </row>
    <row r="733" spans="5:176" x14ac:dyDescent="0.2">
      <c r="E733" s="70"/>
      <c r="FT733" s="44"/>
    </row>
    <row r="734" spans="5:176" x14ac:dyDescent="0.2">
      <c r="E734" s="70"/>
      <c r="FT734" s="44"/>
    </row>
    <row r="735" spans="5:176" x14ac:dyDescent="0.2">
      <c r="E735" s="70"/>
      <c r="FT735" s="44"/>
    </row>
    <row r="736" spans="5:176" x14ac:dyDescent="0.2">
      <c r="E736" s="70"/>
      <c r="FT736" s="44"/>
    </row>
    <row r="737" spans="5:176" x14ac:dyDescent="0.2">
      <c r="E737" s="70"/>
      <c r="FT737" s="44"/>
    </row>
    <row r="738" spans="5:176" x14ac:dyDescent="0.2">
      <c r="E738" s="70"/>
      <c r="FT738" s="44"/>
    </row>
    <row r="739" spans="5:176" x14ac:dyDescent="0.2">
      <c r="E739" s="70"/>
      <c r="FT739" s="44"/>
    </row>
    <row r="740" spans="5:176" x14ac:dyDescent="0.2">
      <c r="E740" s="70"/>
      <c r="FT740" s="44"/>
    </row>
    <row r="741" spans="5:176" x14ac:dyDescent="0.2">
      <c r="E741" s="70"/>
      <c r="FT741" s="44"/>
    </row>
    <row r="742" spans="5:176" x14ac:dyDescent="0.2">
      <c r="E742" s="70"/>
      <c r="FT742" s="44"/>
    </row>
    <row r="743" spans="5:176" x14ac:dyDescent="0.2">
      <c r="E743" s="70"/>
      <c r="FT743" s="44"/>
    </row>
    <row r="744" spans="5:176" x14ac:dyDescent="0.2">
      <c r="E744" s="70"/>
      <c r="FT744" s="44"/>
    </row>
    <row r="745" spans="5:176" x14ac:dyDescent="0.2">
      <c r="E745" s="70"/>
      <c r="FT745" s="44"/>
    </row>
    <row r="746" spans="5:176" x14ac:dyDescent="0.2">
      <c r="E746" s="70"/>
      <c r="FT746" s="44"/>
    </row>
    <row r="747" spans="5:176" x14ac:dyDescent="0.2">
      <c r="E747" s="70"/>
      <c r="FT747" s="44"/>
    </row>
    <row r="748" spans="5:176" x14ac:dyDescent="0.2">
      <c r="E748" s="70"/>
      <c r="FT748" s="44"/>
    </row>
    <row r="749" spans="5:176" x14ac:dyDescent="0.2">
      <c r="E749" s="70"/>
      <c r="FT749" s="44"/>
    </row>
    <row r="750" spans="5:176" x14ac:dyDescent="0.2">
      <c r="E750" s="70"/>
      <c r="FT750" s="44"/>
    </row>
    <row r="751" spans="5:176" x14ac:dyDescent="0.2">
      <c r="E751" s="70"/>
      <c r="FT751" s="44"/>
    </row>
    <row r="752" spans="5:176" x14ac:dyDescent="0.2">
      <c r="E752" s="70"/>
      <c r="FT752" s="44"/>
    </row>
    <row r="753" spans="5:176" x14ac:dyDescent="0.2">
      <c r="E753" s="70"/>
      <c r="FT753" s="44"/>
    </row>
    <row r="754" spans="5:176" x14ac:dyDescent="0.2">
      <c r="E754" s="70"/>
      <c r="FT754" s="44"/>
    </row>
    <row r="755" spans="5:176" x14ac:dyDescent="0.2">
      <c r="E755" s="70"/>
      <c r="FT755" s="44"/>
    </row>
    <row r="756" spans="5:176" x14ac:dyDescent="0.2">
      <c r="E756" s="70"/>
      <c r="FT756" s="44"/>
    </row>
    <row r="757" spans="5:176" x14ac:dyDescent="0.2">
      <c r="E757" s="70"/>
      <c r="FT757" s="44"/>
    </row>
    <row r="758" spans="5:176" x14ac:dyDescent="0.2">
      <c r="E758" s="70"/>
      <c r="FT758" s="44"/>
    </row>
    <row r="759" spans="5:176" x14ac:dyDescent="0.2">
      <c r="E759" s="70"/>
      <c r="FT759" s="44"/>
    </row>
    <row r="760" spans="5:176" x14ac:dyDescent="0.2">
      <c r="E760" s="70"/>
      <c r="FT760" s="44"/>
    </row>
    <row r="761" spans="5:176" x14ac:dyDescent="0.2">
      <c r="E761" s="70"/>
      <c r="FT761" s="44"/>
    </row>
    <row r="762" spans="5:176" x14ac:dyDescent="0.2">
      <c r="E762" s="70"/>
      <c r="FT762" s="44"/>
    </row>
    <row r="763" spans="5:176" x14ac:dyDescent="0.2">
      <c r="E763" s="70"/>
      <c r="FT763" s="44"/>
    </row>
    <row r="764" spans="5:176" x14ac:dyDescent="0.2">
      <c r="E764" s="70"/>
      <c r="FT764" s="44"/>
    </row>
    <row r="765" spans="5:176" x14ac:dyDescent="0.2">
      <c r="E765" s="70"/>
      <c r="FT765" s="44"/>
    </row>
    <row r="766" spans="5:176" x14ac:dyDescent="0.2">
      <c r="E766" s="70"/>
      <c r="FT766" s="44"/>
    </row>
    <row r="767" spans="5:176" x14ac:dyDescent="0.2">
      <c r="E767" s="70"/>
      <c r="FT767" s="44"/>
    </row>
    <row r="768" spans="5:176" x14ac:dyDescent="0.2">
      <c r="E768" s="70"/>
      <c r="FT768" s="44"/>
    </row>
    <row r="769" spans="5:176" x14ac:dyDescent="0.2">
      <c r="E769" s="70"/>
      <c r="FT769" s="44"/>
    </row>
    <row r="770" spans="5:176" x14ac:dyDescent="0.2">
      <c r="E770" s="70"/>
      <c r="FT770" s="44"/>
    </row>
    <row r="771" spans="5:176" x14ac:dyDescent="0.2">
      <c r="E771" s="70"/>
      <c r="FT771" s="44"/>
    </row>
    <row r="772" spans="5:176" x14ac:dyDescent="0.2">
      <c r="E772" s="70"/>
      <c r="FT772" s="44"/>
    </row>
    <row r="773" spans="5:176" x14ac:dyDescent="0.2">
      <c r="E773" s="70"/>
      <c r="FT773" s="44"/>
    </row>
    <row r="774" spans="5:176" x14ac:dyDescent="0.2">
      <c r="E774" s="70"/>
      <c r="FT774" s="44"/>
    </row>
    <row r="775" spans="5:176" x14ac:dyDescent="0.2">
      <c r="E775" s="70"/>
      <c r="FT775" s="44"/>
    </row>
    <row r="776" spans="5:176" x14ac:dyDescent="0.2">
      <c r="E776" s="70"/>
      <c r="FT776" s="44"/>
    </row>
    <row r="777" spans="5:176" x14ac:dyDescent="0.2">
      <c r="E777" s="70"/>
      <c r="FT777" s="44"/>
    </row>
    <row r="778" spans="5:176" x14ac:dyDescent="0.2">
      <c r="E778" s="70"/>
      <c r="FT778" s="44"/>
    </row>
    <row r="779" spans="5:176" x14ac:dyDescent="0.2">
      <c r="E779" s="70"/>
      <c r="FT779" s="44"/>
    </row>
    <row r="780" spans="5:176" x14ac:dyDescent="0.2">
      <c r="E780" s="70"/>
      <c r="FT780" s="44"/>
    </row>
    <row r="781" spans="5:176" x14ac:dyDescent="0.2">
      <c r="E781" s="70"/>
      <c r="FT781" s="44"/>
    </row>
    <row r="782" spans="5:176" x14ac:dyDescent="0.2">
      <c r="E782" s="70"/>
      <c r="FT782" s="44"/>
    </row>
    <row r="783" spans="5:176" x14ac:dyDescent="0.2">
      <c r="E783" s="70"/>
      <c r="FT783" s="44"/>
    </row>
    <row r="784" spans="5:176" x14ac:dyDescent="0.2">
      <c r="E784" s="70"/>
      <c r="FT784" s="44"/>
    </row>
    <row r="785" spans="5:176" x14ac:dyDescent="0.2">
      <c r="E785" s="70"/>
      <c r="FT785" s="44"/>
    </row>
    <row r="786" spans="5:176" x14ac:dyDescent="0.2">
      <c r="E786" s="70"/>
      <c r="FT786" s="44"/>
    </row>
    <row r="787" spans="5:176" x14ac:dyDescent="0.2">
      <c r="E787" s="70"/>
      <c r="FT787" s="44"/>
    </row>
    <row r="788" spans="5:176" x14ac:dyDescent="0.2">
      <c r="E788" s="70"/>
      <c r="FT788" s="44"/>
    </row>
    <row r="789" spans="5:176" x14ac:dyDescent="0.2">
      <c r="E789" s="70"/>
      <c r="FT789" s="44"/>
    </row>
    <row r="790" spans="5:176" x14ac:dyDescent="0.2">
      <c r="E790" s="70"/>
      <c r="FT790" s="44"/>
    </row>
    <row r="791" spans="5:176" x14ac:dyDescent="0.2">
      <c r="E791" s="70"/>
      <c r="FT791" s="44"/>
    </row>
    <row r="792" spans="5:176" x14ac:dyDescent="0.2">
      <c r="E792" s="70"/>
      <c r="FT792" s="44"/>
    </row>
    <row r="793" spans="5:176" x14ac:dyDescent="0.2">
      <c r="E793" s="70"/>
      <c r="FT793" s="44"/>
    </row>
    <row r="794" spans="5:176" x14ac:dyDescent="0.2">
      <c r="E794" s="70"/>
      <c r="FT794" s="44"/>
    </row>
    <row r="795" spans="5:176" x14ac:dyDescent="0.2">
      <c r="E795" s="70"/>
      <c r="FT795" s="44"/>
    </row>
    <row r="796" spans="5:176" x14ac:dyDescent="0.2">
      <c r="E796" s="70"/>
      <c r="FT796" s="44"/>
    </row>
    <row r="797" spans="5:176" x14ac:dyDescent="0.2">
      <c r="E797" s="70"/>
      <c r="FT797" s="44"/>
    </row>
    <row r="798" spans="5:176" x14ac:dyDescent="0.2">
      <c r="E798" s="70"/>
      <c r="FT798" s="44"/>
    </row>
    <row r="799" spans="5:176" x14ac:dyDescent="0.2">
      <c r="E799" s="70"/>
      <c r="FT799" s="44"/>
    </row>
    <row r="800" spans="5:176" x14ac:dyDescent="0.2">
      <c r="E800" s="70"/>
      <c r="FT800" s="44"/>
    </row>
    <row r="801" spans="5:176" x14ac:dyDescent="0.2">
      <c r="E801" s="70"/>
      <c r="FT801" s="44"/>
    </row>
    <row r="802" spans="5:176" x14ac:dyDescent="0.2">
      <c r="E802" s="70"/>
      <c r="FT802" s="44"/>
    </row>
    <row r="803" spans="5:176" x14ac:dyDescent="0.2">
      <c r="E803" s="70"/>
      <c r="FT803" s="44"/>
    </row>
    <row r="804" spans="5:176" x14ac:dyDescent="0.2">
      <c r="E804" s="70"/>
      <c r="FT804" s="44"/>
    </row>
    <row r="805" spans="5:176" x14ac:dyDescent="0.2">
      <c r="E805" s="70"/>
      <c r="FT805" s="44"/>
    </row>
    <row r="806" spans="5:176" x14ac:dyDescent="0.2">
      <c r="E806" s="70"/>
      <c r="FT806" s="44"/>
    </row>
    <row r="807" spans="5:176" x14ac:dyDescent="0.2">
      <c r="E807" s="70"/>
      <c r="FT807" s="44"/>
    </row>
    <row r="808" spans="5:176" x14ac:dyDescent="0.2">
      <c r="E808" s="70"/>
      <c r="FT808" s="44"/>
    </row>
    <row r="809" spans="5:176" x14ac:dyDescent="0.2">
      <c r="E809" s="70"/>
      <c r="FT809" s="44"/>
    </row>
    <row r="810" spans="5:176" x14ac:dyDescent="0.2">
      <c r="E810" s="70"/>
      <c r="FT810" s="44"/>
    </row>
    <row r="811" spans="5:176" x14ac:dyDescent="0.2">
      <c r="E811" s="70"/>
      <c r="FT811" s="44"/>
    </row>
    <row r="812" spans="5:176" x14ac:dyDescent="0.2">
      <c r="E812" s="70"/>
      <c r="FT812" s="44"/>
    </row>
    <row r="813" spans="5:176" x14ac:dyDescent="0.2">
      <c r="E813" s="70"/>
      <c r="FT813" s="44"/>
    </row>
    <row r="814" spans="5:176" x14ac:dyDescent="0.2">
      <c r="E814" s="70"/>
      <c r="FT814" s="44"/>
    </row>
    <row r="815" spans="5:176" x14ac:dyDescent="0.2">
      <c r="E815" s="70"/>
      <c r="FT815" s="44"/>
    </row>
    <row r="816" spans="5:176" x14ac:dyDescent="0.2">
      <c r="E816" s="70"/>
      <c r="FT816" s="44"/>
    </row>
    <row r="817" spans="5:176" x14ac:dyDescent="0.2">
      <c r="E817" s="70"/>
      <c r="FT817" s="44"/>
    </row>
    <row r="818" spans="5:176" x14ac:dyDescent="0.2">
      <c r="E818" s="70"/>
      <c r="FT818" s="44"/>
    </row>
    <row r="819" spans="5:176" x14ac:dyDescent="0.2">
      <c r="E819" s="70"/>
      <c r="FT819" s="44"/>
    </row>
    <row r="820" spans="5:176" x14ac:dyDescent="0.2">
      <c r="E820" s="70"/>
      <c r="FT820" s="44"/>
    </row>
    <row r="821" spans="5:176" x14ac:dyDescent="0.2">
      <c r="E821" s="70"/>
      <c r="FT821" s="44"/>
    </row>
    <row r="822" spans="5:176" x14ac:dyDescent="0.2">
      <c r="E822" s="70"/>
      <c r="FT822" s="44"/>
    </row>
    <row r="823" spans="5:176" x14ac:dyDescent="0.2">
      <c r="E823" s="70"/>
      <c r="FT823" s="44"/>
    </row>
    <row r="824" spans="5:176" x14ac:dyDescent="0.2">
      <c r="E824" s="70"/>
      <c r="FT824" s="44"/>
    </row>
    <row r="825" spans="5:176" x14ac:dyDescent="0.2">
      <c r="E825" s="70"/>
      <c r="FT825" s="44"/>
    </row>
    <row r="826" spans="5:176" x14ac:dyDescent="0.2">
      <c r="E826" s="70"/>
      <c r="FT826" s="44"/>
    </row>
    <row r="827" spans="5:176" x14ac:dyDescent="0.2">
      <c r="E827" s="70"/>
      <c r="FT827" s="44"/>
    </row>
    <row r="828" spans="5:176" x14ac:dyDescent="0.2">
      <c r="E828" s="70"/>
      <c r="FT828" s="44"/>
    </row>
    <row r="829" spans="5:176" x14ac:dyDescent="0.2">
      <c r="E829" s="70"/>
      <c r="FT829" s="44"/>
    </row>
    <row r="830" spans="5:176" x14ac:dyDescent="0.2">
      <c r="E830" s="70"/>
      <c r="FT830" s="44"/>
    </row>
    <row r="831" spans="5:176" x14ac:dyDescent="0.2">
      <c r="E831" s="70"/>
      <c r="FT831" s="44"/>
    </row>
    <row r="832" spans="5:176" x14ac:dyDescent="0.2">
      <c r="E832" s="70"/>
      <c r="FT832" s="44"/>
    </row>
    <row r="833" spans="5:176" x14ac:dyDescent="0.2">
      <c r="E833" s="70"/>
      <c r="FT833" s="44"/>
    </row>
    <row r="834" spans="5:176" x14ac:dyDescent="0.2">
      <c r="E834" s="70"/>
      <c r="FT834" s="44"/>
    </row>
    <row r="835" spans="5:176" x14ac:dyDescent="0.2">
      <c r="E835" s="70"/>
      <c r="FT835" s="44"/>
    </row>
    <row r="836" spans="5:176" x14ac:dyDescent="0.2">
      <c r="E836" s="70"/>
      <c r="FT836" s="44"/>
    </row>
    <row r="837" spans="5:176" x14ac:dyDescent="0.2">
      <c r="E837" s="70"/>
      <c r="FT837" s="44"/>
    </row>
    <row r="838" spans="5:176" x14ac:dyDescent="0.2">
      <c r="E838" s="70"/>
      <c r="FT838" s="44"/>
    </row>
    <row r="839" spans="5:176" x14ac:dyDescent="0.2">
      <c r="E839" s="70"/>
      <c r="FT839" s="44"/>
    </row>
    <row r="840" spans="5:176" x14ac:dyDescent="0.2">
      <c r="E840" s="70"/>
      <c r="FT840" s="44"/>
    </row>
    <row r="841" spans="5:176" x14ac:dyDescent="0.2">
      <c r="E841" s="70"/>
      <c r="FT841" s="44"/>
    </row>
    <row r="842" spans="5:176" x14ac:dyDescent="0.2">
      <c r="E842" s="70"/>
      <c r="FT842" s="44"/>
    </row>
    <row r="843" spans="5:176" x14ac:dyDescent="0.2">
      <c r="E843" s="70"/>
      <c r="FT843" s="44"/>
    </row>
    <row r="844" spans="5:176" x14ac:dyDescent="0.2">
      <c r="E844" s="70"/>
      <c r="FT844" s="44"/>
    </row>
    <row r="845" spans="5:176" x14ac:dyDescent="0.2">
      <c r="E845" s="70"/>
      <c r="FT845" s="44"/>
    </row>
    <row r="846" spans="5:176" x14ac:dyDescent="0.2">
      <c r="E846" s="70"/>
      <c r="FT846" s="44"/>
    </row>
    <row r="847" spans="5:176" x14ac:dyDescent="0.2">
      <c r="E847" s="70"/>
      <c r="FT847" s="44"/>
    </row>
    <row r="848" spans="5:176" x14ac:dyDescent="0.2">
      <c r="E848" s="70"/>
      <c r="FT848" s="44"/>
    </row>
    <row r="849" spans="5:176" x14ac:dyDescent="0.2">
      <c r="E849" s="70"/>
      <c r="FT849" s="44"/>
    </row>
    <row r="850" spans="5:176" x14ac:dyDescent="0.2">
      <c r="E850" s="70"/>
      <c r="FT850" s="44"/>
    </row>
    <row r="851" spans="5:176" x14ac:dyDescent="0.2">
      <c r="E851" s="70"/>
      <c r="FT851" s="44"/>
    </row>
    <row r="852" spans="5:176" x14ac:dyDescent="0.2">
      <c r="E852" s="70"/>
      <c r="FT852" s="44"/>
    </row>
    <row r="853" spans="5:176" x14ac:dyDescent="0.2">
      <c r="E853" s="70"/>
      <c r="FT853" s="44"/>
    </row>
    <row r="854" spans="5:176" x14ac:dyDescent="0.2">
      <c r="E854" s="70"/>
      <c r="FT854" s="44"/>
    </row>
    <row r="855" spans="5:176" x14ac:dyDescent="0.2">
      <c r="E855" s="70"/>
      <c r="FT855" s="44"/>
    </row>
    <row r="856" spans="5:176" x14ac:dyDescent="0.2">
      <c r="E856" s="70"/>
      <c r="FT856" s="44"/>
    </row>
    <row r="857" spans="5:176" x14ac:dyDescent="0.2">
      <c r="E857" s="70"/>
      <c r="FT857" s="44"/>
    </row>
    <row r="858" spans="5:176" x14ac:dyDescent="0.2">
      <c r="E858" s="70"/>
      <c r="FT858" s="44"/>
    </row>
    <row r="859" spans="5:176" x14ac:dyDescent="0.2">
      <c r="E859" s="70"/>
      <c r="FT859" s="44"/>
    </row>
    <row r="860" spans="5:176" x14ac:dyDescent="0.2">
      <c r="E860" s="70"/>
      <c r="FT860" s="44"/>
    </row>
    <row r="861" spans="5:176" x14ac:dyDescent="0.2">
      <c r="E861" s="70"/>
      <c r="FT861" s="44"/>
    </row>
    <row r="862" spans="5:176" x14ac:dyDescent="0.2">
      <c r="E862" s="70"/>
      <c r="FT862" s="44"/>
    </row>
    <row r="863" spans="5:176" x14ac:dyDescent="0.2">
      <c r="E863" s="70"/>
      <c r="FT863" s="44"/>
    </row>
    <row r="864" spans="5:176" x14ac:dyDescent="0.2">
      <c r="E864" s="70"/>
      <c r="FT864" s="44"/>
    </row>
    <row r="865" spans="5:176" x14ac:dyDescent="0.2">
      <c r="E865" s="70"/>
      <c r="FT865" s="44"/>
    </row>
    <row r="866" spans="5:176" x14ac:dyDescent="0.2">
      <c r="E866" s="70"/>
      <c r="FT866" s="44"/>
    </row>
    <row r="867" spans="5:176" x14ac:dyDescent="0.2">
      <c r="E867" s="70"/>
      <c r="FT867" s="44"/>
    </row>
    <row r="868" spans="5:176" x14ac:dyDescent="0.2">
      <c r="E868" s="70"/>
      <c r="FT868" s="44"/>
    </row>
    <row r="869" spans="5:176" x14ac:dyDescent="0.2">
      <c r="E869" s="70"/>
      <c r="FT869" s="44"/>
    </row>
    <row r="870" spans="5:176" x14ac:dyDescent="0.2">
      <c r="E870" s="70"/>
      <c r="FT870" s="44"/>
    </row>
    <row r="871" spans="5:176" x14ac:dyDescent="0.2">
      <c r="E871" s="70"/>
      <c r="FT871" s="44"/>
    </row>
    <row r="872" spans="5:176" x14ac:dyDescent="0.2">
      <c r="E872" s="70"/>
      <c r="FT872" s="44"/>
    </row>
    <row r="873" spans="5:176" x14ac:dyDescent="0.2">
      <c r="E873" s="70"/>
      <c r="FT873" s="44"/>
    </row>
    <row r="874" spans="5:176" x14ac:dyDescent="0.2">
      <c r="E874" s="70"/>
      <c r="FT874" s="44"/>
    </row>
    <row r="875" spans="5:176" x14ac:dyDescent="0.2">
      <c r="E875" s="70"/>
      <c r="FT875" s="44"/>
    </row>
    <row r="876" spans="5:176" x14ac:dyDescent="0.2">
      <c r="E876" s="70"/>
      <c r="FT876" s="44"/>
    </row>
    <row r="877" spans="5:176" x14ac:dyDescent="0.2">
      <c r="E877" s="70"/>
      <c r="FT877" s="44"/>
    </row>
    <row r="878" spans="5:176" x14ac:dyDescent="0.2">
      <c r="E878" s="70"/>
      <c r="FT878" s="44"/>
    </row>
    <row r="879" spans="5:176" x14ac:dyDescent="0.2">
      <c r="E879" s="70"/>
      <c r="FT879" s="44"/>
    </row>
    <row r="880" spans="5:176" x14ac:dyDescent="0.2">
      <c r="E880" s="70"/>
      <c r="FT880" s="44"/>
    </row>
    <row r="881" spans="5:176" x14ac:dyDescent="0.2">
      <c r="E881" s="70"/>
      <c r="FT881" s="44"/>
    </row>
    <row r="882" spans="5:176" x14ac:dyDescent="0.2">
      <c r="E882" s="70"/>
      <c r="FT882" s="44"/>
    </row>
    <row r="883" spans="5:176" x14ac:dyDescent="0.2">
      <c r="E883" s="70"/>
      <c r="FT883" s="44"/>
    </row>
    <row r="884" spans="5:176" x14ac:dyDescent="0.2">
      <c r="E884" s="70"/>
      <c r="FT884" s="44"/>
    </row>
    <row r="885" spans="5:176" x14ac:dyDescent="0.2">
      <c r="E885" s="70"/>
      <c r="FT885" s="44"/>
    </row>
    <row r="886" spans="5:176" x14ac:dyDescent="0.2">
      <c r="E886" s="70"/>
      <c r="FT886" s="44"/>
    </row>
    <row r="887" spans="5:176" x14ac:dyDescent="0.2">
      <c r="E887" s="70"/>
      <c r="FT887" s="44"/>
    </row>
    <row r="888" spans="5:176" x14ac:dyDescent="0.2">
      <c r="E888" s="70"/>
      <c r="FT888" s="44"/>
    </row>
    <row r="889" spans="5:176" x14ac:dyDescent="0.2">
      <c r="E889" s="70"/>
      <c r="FT889" s="44"/>
    </row>
    <row r="890" spans="5:176" x14ac:dyDescent="0.2">
      <c r="E890" s="70"/>
      <c r="FT890" s="44"/>
    </row>
    <row r="891" spans="5:176" x14ac:dyDescent="0.2">
      <c r="E891" s="70"/>
      <c r="FT891" s="44"/>
    </row>
    <row r="892" spans="5:176" x14ac:dyDescent="0.2">
      <c r="E892" s="70"/>
      <c r="FT892" s="44"/>
    </row>
    <row r="893" spans="5:176" x14ac:dyDescent="0.2">
      <c r="E893" s="70"/>
      <c r="FT893" s="44"/>
    </row>
    <row r="894" spans="5:176" x14ac:dyDescent="0.2">
      <c r="E894" s="70"/>
      <c r="FT894" s="44"/>
    </row>
    <row r="895" spans="5:176" x14ac:dyDescent="0.2">
      <c r="E895" s="70"/>
      <c r="FT895" s="44"/>
    </row>
    <row r="896" spans="5:176" x14ac:dyDescent="0.2">
      <c r="E896" s="70"/>
      <c r="FT896" s="44"/>
    </row>
    <row r="897" spans="5:176" x14ac:dyDescent="0.2">
      <c r="E897" s="70"/>
      <c r="FT897" s="44"/>
    </row>
    <row r="898" spans="5:176" x14ac:dyDescent="0.2">
      <c r="E898" s="70"/>
      <c r="FT898" s="44"/>
    </row>
    <row r="899" spans="5:176" x14ac:dyDescent="0.2">
      <c r="E899" s="70"/>
      <c r="FT899" s="44"/>
    </row>
    <row r="900" spans="5:176" x14ac:dyDescent="0.2">
      <c r="E900" s="70"/>
      <c r="FT900" s="44"/>
    </row>
    <row r="901" spans="5:176" x14ac:dyDescent="0.2">
      <c r="E901" s="70"/>
      <c r="FT901" s="44"/>
    </row>
    <row r="902" spans="5:176" x14ac:dyDescent="0.2">
      <c r="E902" s="70"/>
      <c r="FT902" s="44"/>
    </row>
    <row r="903" spans="5:176" x14ac:dyDescent="0.2">
      <c r="E903" s="70"/>
      <c r="FT903" s="44"/>
    </row>
    <row r="904" spans="5:176" x14ac:dyDescent="0.2">
      <c r="E904" s="70"/>
      <c r="FT904" s="44"/>
    </row>
    <row r="905" spans="5:176" x14ac:dyDescent="0.2">
      <c r="E905" s="70"/>
      <c r="FT905" s="44"/>
    </row>
    <row r="906" spans="5:176" x14ac:dyDescent="0.2">
      <c r="E906" s="70"/>
      <c r="FT906" s="44"/>
    </row>
    <row r="907" spans="5:176" x14ac:dyDescent="0.2">
      <c r="E907" s="70"/>
      <c r="FT907" s="44"/>
    </row>
    <row r="908" spans="5:176" x14ac:dyDescent="0.2">
      <c r="E908" s="70"/>
      <c r="FT908" s="44"/>
    </row>
    <row r="909" spans="5:176" x14ac:dyDescent="0.2">
      <c r="E909" s="70"/>
      <c r="FT909" s="44"/>
    </row>
    <row r="910" spans="5:176" x14ac:dyDescent="0.2">
      <c r="E910" s="70"/>
      <c r="FT910" s="44"/>
    </row>
    <row r="911" spans="5:176" x14ac:dyDescent="0.2">
      <c r="E911" s="70"/>
      <c r="FT911" s="44"/>
    </row>
    <row r="912" spans="5:176" x14ac:dyDescent="0.2">
      <c r="E912" s="70"/>
      <c r="FT912" s="44"/>
    </row>
    <row r="913" spans="5:176" x14ac:dyDescent="0.2">
      <c r="E913" s="70"/>
      <c r="FT913" s="44"/>
    </row>
    <row r="914" spans="5:176" x14ac:dyDescent="0.2">
      <c r="E914" s="70"/>
      <c r="FT914" s="44"/>
    </row>
    <row r="915" spans="5:176" x14ac:dyDescent="0.2">
      <c r="E915" s="70"/>
      <c r="FT915" s="44"/>
    </row>
    <row r="916" spans="5:176" x14ac:dyDescent="0.2">
      <c r="E916" s="70"/>
      <c r="FT916" s="44"/>
    </row>
    <row r="917" spans="5:176" x14ac:dyDescent="0.2">
      <c r="E917" s="70"/>
      <c r="FT917" s="44"/>
    </row>
    <row r="918" spans="5:176" x14ac:dyDescent="0.2">
      <c r="E918" s="70"/>
      <c r="FT918" s="44"/>
    </row>
    <row r="919" spans="5:176" x14ac:dyDescent="0.2">
      <c r="E919" s="70"/>
      <c r="FT919" s="44"/>
    </row>
    <row r="920" spans="5:176" x14ac:dyDescent="0.2">
      <c r="E920" s="70"/>
      <c r="FT920" s="44"/>
    </row>
    <row r="921" spans="5:176" x14ac:dyDescent="0.2">
      <c r="E921" s="70"/>
      <c r="FT921" s="44"/>
    </row>
    <row r="922" spans="5:176" x14ac:dyDescent="0.2">
      <c r="E922" s="70"/>
      <c r="FT922" s="44"/>
    </row>
    <row r="923" spans="5:176" x14ac:dyDescent="0.2">
      <c r="E923" s="70"/>
      <c r="FT923" s="44"/>
    </row>
    <row r="924" spans="5:176" x14ac:dyDescent="0.2">
      <c r="E924" s="70"/>
      <c r="FT924" s="44"/>
    </row>
    <row r="925" spans="5:176" x14ac:dyDescent="0.2">
      <c r="E925" s="70"/>
      <c r="FT925" s="44"/>
    </row>
    <row r="926" spans="5:176" x14ac:dyDescent="0.2">
      <c r="E926" s="70"/>
      <c r="FT926" s="44"/>
    </row>
    <row r="927" spans="5:176" x14ac:dyDescent="0.2">
      <c r="E927" s="70"/>
      <c r="FT927" s="44"/>
    </row>
    <row r="928" spans="5:176" x14ac:dyDescent="0.2">
      <c r="E928" s="70"/>
      <c r="FT928" s="44"/>
    </row>
    <row r="929" spans="5:176" x14ac:dyDescent="0.2">
      <c r="E929" s="70"/>
      <c r="FT929" s="44"/>
    </row>
    <row r="930" spans="5:176" x14ac:dyDescent="0.2">
      <c r="E930" s="70"/>
      <c r="FT930" s="44"/>
    </row>
    <row r="931" spans="5:176" x14ac:dyDescent="0.2">
      <c r="E931" s="70"/>
      <c r="FT931" s="44"/>
    </row>
    <row r="932" spans="5:176" x14ac:dyDescent="0.2">
      <c r="E932" s="70"/>
      <c r="FT932" s="44"/>
    </row>
    <row r="933" spans="5:176" x14ac:dyDescent="0.2">
      <c r="E933" s="70"/>
      <c r="FT933" s="44"/>
    </row>
    <row r="934" spans="5:176" x14ac:dyDescent="0.2">
      <c r="E934" s="70"/>
      <c r="FT934" s="44"/>
    </row>
    <row r="935" spans="5:176" x14ac:dyDescent="0.2">
      <c r="E935" s="70"/>
      <c r="FT935" s="44"/>
    </row>
    <row r="936" spans="5:176" x14ac:dyDescent="0.2">
      <c r="E936" s="70"/>
      <c r="FT936" s="44"/>
    </row>
    <row r="937" spans="5:176" x14ac:dyDescent="0.2">
      <c r="E937" s="70"/>
      <c r="FT937" s="44"/>
    </row>
    <row r="938" spans="5:176" x14ac:dyDescent="0.2">
      <c r="E938" s="70"/>
      <c r="FT938" s="44"/>
    </row>
    <row r="939" spans="5:176" x14ac:dyDescent="0.2">
      <c r="E939" s="70"/>
      <c r="FT939" s="44"/>
    </row>
    <row r="940" spans="5:176" x14ac:dyDescent="0.2">
      <c r="E940" s="70"/>
      <c r="FT940" s="44"/>
    </row>
    <row r="941" spans="5:176" x14ac:dyDescent="0.2">
      <c r="E941" s="70"/>
      <c r="FT941" s="44"/>
    </row>
    <row r="942" spans="5:176" x14ac:dyDescent="0.2">
      <c r="E942" s="70"/>
      <c r="FT942" s="44"/>
    </row>
    <row r="943" spans="5:176" x14ac:dyDescent="0.2">
      <c r="E943" s="70"/>
      <c r="FT943" s="44"/>
    </row>
    <row r="944" spans="5:176" x14ac:dyDescent="0.2">
      <c r="E944" s="70"/>
      <c r="FT944" s="44"/>
    </row>
    <row r="945" spans="5:176" x14ac:dyDescent="0.2">
      <c r="E945" s="70"/>
      <c r="FT945" s="44"/>
    </row>
    <row r="946" spans="5:176" x14ac:dyDescent="0.2">
      <c r="E946" s="70"/>
      <c r="FT946" s="44"/>
    </row>
    <row r="947" spans="5:176" x14ac:dyDescent="0.2">
      <c r="E947" s="70"/>
      <c r="FT947" s="44"/>
    </row>
    <row r="948" spans="5:176" x14ac:dyDescent="0.2">
      <c r="E948" s="70"/>
      <c r="FT948" s="44"/>
    </row>
    <row r="949" spans="5:176" x14ac:dyDescent="0.2">
      <c r="E949" s="70"/>
      <c r="FT949" s="44"/>
    </row>
    <row r="950" spans="5:176" x14ac:dyDescent="0.2">
      <c r="E950" s="70"/>
      <c r="FT950" s="44"/>
    </row>
    <row r="951" spans="5:176" x14ac:dyDescent="0.2">
      <c r="E951" s="70"/>
      <c r="FT951" s="44"/>
    </row>
    <row r="952" spans="5:176" x14ac:dyDescent="0.2">
      <c r="E952" s="70"/>
      <c r="FT952" s="44"/>
    </row>
    <row r="953" spans="5:176" x14ac:dyDescent="0.2">
      <c r="E953" s="70"/>
      <c r="FT953" s="44"/>
    </row>
    <row r="954" spans="5:176" x14ac:dyDescent="0.2">
      <c r="E954" s="70"/>
      <c r="FT954" s="44"/>
    </row>
    <row r="955" spans="5:176" x14ac:dyDescent="0.2">
      <c r="E955" s="70"/>
      <c r="FT955" s="44"/>
    </row>
    <row r="956" spans="5:176" x14ac:dyDescent="0.2">
      <c r="E956" s="70"/>
      <c r="FT956" s="44"/>
    </row>
    <row r="957" spans="5:176" x14ac:dyDescent="0.2">
      <c r="E957" s="70"/>
      <c r="FT957" s="44"/>
    </row>
    <row r="958" spans="5:176" x14ac:dyDescent="0.2">
      <c r="E958" s="70"/>
      <c r="FT958" s="44"/>
    </row>
    <row r="959" spans="5:176" x14ac:dyDescent="0.2">
      <c r="E959" s="70"/>
      <c r="FT959" s="44"/>
    </row>
    <row r="960" spans="5:176" x14ac:dyDescent="0.2">
      <c r="E960" s="70"/>
      <c r="FT960" s="44"/>
    </row>
    <row r="961" spans="5:176" x14ac:dyDescent="0.2">
      <c r="E961" s="70"/>
      <c r="FT961" s="44"/>
    </row>
    <row r="962" spans="5:176" x14ac:dyDescent="0.2">
      <c r="E962" s="70"/>
      <c r="FT962" s="44"/>
    </row>
    <row r="963" spans="5:176" x14ac:dyDescent="0.2">
      <c r="E963" s="70"/>
      <c r="FT963" s="44"/>
    </row>
    <row r="964" spans="5:176" x14ac:dyDescent="0.2">
      <c r="E964" s="70"/>
      <c r="FT964" s="44"/>
    </row>
    <row r="965" spans="5:176" x14ac:dyDescent="0.2">
      <c r="E965" s="70"/>
      <c r="FT965" s="44"/>
    </row>
    <row r="966" spans="5:176" x14ac:dyDescent="0.2">
      <c r="E966" s="70"/>
      <c r="FT966" s="44"/>
    </row>
    <row r="967" spans="5:176" x14ac:dyDescent="0.2">
      <c r="E967" s="70"/>
      <c r="FT967" s="44"/>
    </row>
    <row r="968" spans="5:176" x14ac:dyDescent="0.2">
      <c r="E968" s="70"/>
      <c r="FT968" s="44"/>
    </row>
    <row r="969" spans="5:176" x14ac:dyDescent="0.2">
      <c r="E969" s="70"/>
      <c r="FT969" s="44"/>
    </row>
    <row r="970" spans="5:176" x14ac:dyDescent="0.2">
      <c r="E970" s="70"/>
      <c r="FT970" s="44"/>
    </row>
    <row r="971" spans="5:176" x14ac:dyDescent="0.2">
      <c r="E971" s="70"/>
      <c r="FT971" s="44"/>
    </row>
    <row r="972" spans="5:176" x14ac:dyDescent="0.2">
      <c r="E972" s="70"/>
      <c r="FT972" s="44"/>
    </row>
    <row r="973" spans="5:176" x14ac:dyDescent="0.2">
      <c r="E973" s="70"/>
      <c r="FT973" s="44"/>
    </row>
    <row r="974" spans="5:176" x14ac:dyDescent="0.2">
      <c r="E974" s="70"/>
      <c r="FT974" s="44"/>
    </row>
    <row r="975" spans="5:176" x14ac:dyDescent="0.2">
      <c r="E975" s="70"/>
      <c r="FT975" s="44"/>
    </row>
    <row r="976" spans="5:176" x14ac:dyDescent="0.2">
      <c r="E976" s="70"/>
      <c r="FT976" s="44"/>
    </row>
    <row r="977" spans="5:176" x14ac:dyDescent="0.2">
      <c r="E977" s="70"/>
      <c r="FT977" s="44"/>
    </row>
    <row r="978" spans="5:176" x14ac:dyDescent="0.2">
      <c r="E978" s="70"/>
      <c r="FT978" s="44"/>
    </row>
    <row r="979" spans="5:176" x14ac:dyDescent="0.2">
      <c r="E979" s="70"/>
      <c r="FT979" s="44"/>
    </row>
    <row r="980" spans="5:176" x14ac:dyDescent="0.2">
      <c r="E980" s="70"/>
      <c r="FT980" s="44"/>
    </row>
    <row r="981" spans="5:176" x14ac:dyDescent="0.2">
      <c r="E981" s="70"/>
      <c r="FT981" s="44"/>
    </row>
    <row r="982" spans="5:176" x14ac:dyDescent="0.2">
      <c r="E982" s="70"/>
      <c r="FT982" s="44"/>
    </row>
    <row r="983" spans="5:176" x14ac:dyDescent="0.2">
      <c r="E983" s="70"/>
      <c r="FT983" s="44"/>
    </row>
    <row r="984" spans="5:176" x14ac:dyDescent="0.2">
      <c r="E984" s="70"/>
      <c r="FT984" s="44"/>
    </row>
    <row r="985" spans="5:176" x14ac:dyDescent="0.2">
      <c r="E985" s="70"/>
      <c r="FT985" s="44"/>
    </row>
    <row r="986" spans="5:176" x14ac:dyDescent="0.2">
      <c r="E986" s="70"/>
      <c r="FT986" s="44"/>
    </row>
    <row r="987" spans="5:176" x14ac:dyDescent="0.2">
      <c r="E987" s="70"/>
      <c r="FT987" s="44"/>
    </row>
    <row r="988" spans="5:176" x14ac:dyDescent="0.2">
      <c r="E988" s="70"/>
      <c r="FT988" s="44"/>
    </row>
    <row r="989" spans="5:176" x14ac:dyDescent="0.2">
      <c r="E989" s="70"/>
      <c r="FT989" s="44"/>
    </row>
    <row r="990" spans="5:176" x14ac:dyDescent="0.2">
      <c r="E990" s="70"/>
      <c r="FT990" s="44"/>
    </row>
    <row r="991" spans="5:176" x14ac:dyDescent="0.2">
      <c r="E991" s="70"/>
      <c r="FT991" s="44"/>
    </row>
    <row r="992" spans="5:176" x14ac:dyDescent="0.2">
      <c r="E992" s="70"/>
      <c r="FT992" s="44"/>
    </row>
    <row r="993" spans="5:176" x14ac:dyDescent="0.2">
      <c r="E993" s="70"/>
      <c r="FT993" s="44"/>
    </row>
    <row r="994" spans="5:176" x14ac:dyDescent="0.2">
      <c r="E994" s="70"/>
      <c r="FT994" s="44"/>
    </row>
    <row r="995" spans="5:176" x14ac:dyDescent="0.2">
      <c r="E995" s="70"/>
      <c r="FT995" s="44"/>
    </row>
    <row r="996" spans="5:176" x14ac:dyDescent="0.2">
      <c r="E996" s="70"/>
      <c r="FT996" s="44"/>
    </row>
    <row r="997" spans="5:176" x14ac:dyDescent="0.2">
      <c r="E997" s="70"/>
      <c r="FT997" s="44"/>
    </row>
    <row r="998" spans="5:176" x14ac:dyDescent="0.2">
      <c r="E998" s="70"/>
      <c r="FT998" s="44"/>
    </row>
    <row r="999" spans="5:176" x14ac:dyDescent="0.2">
      <c r="E999" s="70"/>
      <c r="FT999" s="44"/>
    </row>
    <row r="1000" spans="5:176" x14ac:dyDescent="0.2">
      <c r="E1000" s="70"/>
      <c r="FT1000" s="44"/>
    </row>
    <row r="1001" spans="5:176" x14ac:dyDescent="0.2">
      <c r="E1001" s="70"/>
      <c r="FT1001" s="44"/>
    </row>
    <row r="1002" spans="5:176" x14ac:dyDescent="0.2">
      <c r="E1002" s="70"/>
      <c r="FT1002" s="44"/>
    </row>
    <row r="1003" spans="5:176" x14ac:dyDescent="0.2">
      <c r="E1003" s="70"/>
      <c r="FT1003" s="44"/>
    </row>
    <row r="1004" spans="5:176" x14ac:dyDescent="0.2">
      <c r="E1004" s="70"/>
      <c r="FT1004" s="44"/>
    </row>
    <row r="1005" spans="5:176" x14ac:dyDescent="0.2">
      <c r="E1005" s="70"/>
      <c r="FT1005" s="44"/>
    </row>
    <row r="1006" spans="5:176" x14ac:dyDescent="0.2">
      <c r="E1006" s="70"/>
      <c r="FT1006" s="44"/>
    </row>
    <row r="1007" spans="5:176" x14ac:dyDescent="0.2">
      <c r="E1007" s="70"/>
      <c r="FT1007" s="44"/>
    </row>
    <row r="1008" spans="5:176" x14ac:dyDescent="0.2">
      <c r="E1008" s="70"/>
      <c r="FT1008" s="44"/>
    </row>
    <row r="1009" spans="5:176" x14ac:dyDescent="0.2">
      <c r="E1009" s="70"/>
      <c r="FT1009" s="44"/>
    </row>
    <row r="1010" spans="5:176" x14ac:dyDescent="0.2">
      <c r="E1010" s="70"/>
      <c r="FT1010" s="44"/>
    </row>
    <row r="1011" spans="5:176" x14ac:dyDescent="0.2">
      <c r="E1011" s="70"/>
      <c r="FT1011" s="44"/>
    </row>
    <row r="1012" spans="5:176" x14ac:dyDescent="0.2">
      <c r="E1012" s="70"/>
      <c r="FT1012" s="44"/>
    </row>
    <row r="1013" spans="5:176" x14ac:dyDescent="0.2">
      <c r="E1013" s="70"/>
      <c r="FT1013" s="44"/>
    </row>
    <row r="1014" spans="5:176" x14ac:dyDescent="0.2">
      <c r="E1014" s="70"/>
      <c r="FT1014" s="44"/>
    </row>
    <row r="1015" spans="5:176" x14ac:dyDescent="0.2">
      <c r="E1015" s="70"/>
      <c r="FT1015" s="44"/>
    </row>
    <row r="1016" spans="5:176" x14ac:dyDescent="0.2">
      <c r="E1016" s="70"/>
      <c r="FT1016" s="44"/>
    </row>
    <row r="1017" spans="5:176" x14ac:dyDescent="0.2">
      <c r="E1017" s="70"/>
      <c r="FT1017" s="44"/>
    </row>
    <row r="1018" spans="5:176" x14ac:dyDescent="0.2">
      <c r="E1018" s="70"/>
      <c r="FT1018" s="44"/>
    </row>
    <row r="1019" spans="5:176" x14ac:dyDescent="0.2">
      <c r="E1019" s="70"/>
      <c r="FT1019" s="44"/>
    </row>
    <row r="1020" spans="5:176" x14ac:dyDescent="0.2">
      <c r="E1020" s="70"/>
      <c r="FT1020" s="44"/>
    </row>
    <row r="1021" spans="5:176" x14ac:dyDescent="0.2">
      <c r="E1021" s="70"/>
      <c r="FT1021" s="44"/>
    </row>
    <row r="1022" spans="5:176" x14ac:dyDescent="0.2">
      <c r="E1022" s="70"/>
      <c r="FT1022" s="44"/>
    </row>
    <row r="1023" spans="5:176" x14ac:dyDescent="0.2">
      <c r="E1023" s="70"/>
      <c r="FT1023" s="44"/>
    </row>
    <row r="1024" spans="5:176" x14ac:dyDescent="0.2">
      <c r="E1024" s="70"/>
      <c r="FT1024" s="44"/>
    </row>
    <row r="1025" spans="5:176" x14ac:dyDescent="0.2">
      <c r="E1025" s="70"/>
      <c r="FT1025" s="44"/>
    </row>
    <row r="1026" spans="5:176" x14ac:dyDescent="0.2">
      <c r="E1026" s="70"/>
      <c r="FT1026" s="44"/>
    </row>
    <row r="1027" spans="5:176" x14ac:dyDescent="0.2">
      <c r="E1027" s="70"/>
      <c r="FT1027" s="44"/>
    </row>
    <row r="1028" spans="5:176" x14ac:dyDescent="0.2">
      <c r="E1028" s="70"/>
      <c r="FT1028" s="44"/>
    </row>
    <row r="1029" spans="5:176" x14ac:dyDescent="0.2">
      <c r="E1029" s="70"/>
      <c r="FT1029" s="44"/>
    </row>
    <row r="1030" spans="5:176" x14ac:dyDescent="0.2">
      <c r="E1030" s="70"/>
      <c r="FT1030" s="44"/>
    </row>
    <row r="1031" spans="5:176" x14ac:dyDescent="0.2">
      <c r="E1031" s="70"/>
      <c r="FT1031" s="44"/>
    </row>
    <row r="1032" spans="5:176" x14ac:dyDescent="0.2">
      <c r="E1032" s="70"/>
      <c r="FT1032" s="44"/>
    </row>
    <row r="1033" spans="5:176" x14ac:dyDescent="0.2">
      <c r="E1033" s="70"/>
      <c r="FT1033" s="44"/>
    </row>
    <row r="1034" spans="5:176" x14ac:dyDescent="0.2">
      <c r="E1034" s="70"/>
      <c r="FT1034" s="44"/>
    </row>
    <row r="1035" spans="5:176" x14ac:dyDescent="0.2">
      <c r="E1035" s="70"/>
      <c r="FT1035" s="44"/>
    </row>
    <row r="1036" spans="5:176" x14ac:dyDescent="0.2">
      <c r="E1036" s="70"/>
      <c r="FT1036" s="44"/>
    </row>
    <row r="1037" spans="5:176" x14ac:dyDescent="0.2">
      <c r="E1037" s="70"/>
      <c r="FT1037" s="44"/>
    </row>
    <row r="1038" spans="5:176" x14ac:dyDescent="0.2">
      <c r="E1038" s="70"/>
      <c r="FT1038" s="44"/>
    </row>
    <row r="1039" spans="5:176" x14ac:dyDescent="0.2">
      <c r="E1039" s="70"/>
      <c r="FT1039" s="44"/>
    </row>
    <row r="1040" spans="5:176" x14ac:dyDescent="0.2">
      <c r="E1040" s="70"/>
      <c r="FT1040" s="44"/>
    </row>
    <row r="1041" spans="5:176" x14ac:dyDescent="0.2">
      <c r="E1041" s="70"/>
      <c r="FT1041" s="44"/>
    </row>
    <row r="1042" spans="5:176" x14ac:dyDescent="0.2">
      <c r="E1042" s="70"/>
      <c r="FT1042" s="44"/>
    </row>
    <row r="1043" spans="5:176" x14ac:dyDescent="0.2">
      <c r="E1043" s="70"/>
      <c r="FT1043" s="44"/>
    </row>
    <row r="1044" spans="5:176" x14ac:dyDescent="0.2">
      <c r="E1044" s="70"/>
      <c r="FT1044" s="44"/>
    </row>
    <row r="1045" spans="5:176" x14ac:dyDescent="0.2">
      <c r="E1045" s="70"/>
      <c r="FT1045" s="44"/>
    </row>
    <row r="1046" spans="5:176" x14ac:dyDescent="0.2">
      <c r="E1046" s="70"/>
      <c r="FT1046" s="44"/>
    </row>
    <row r="1047" spans="5:176" x14ac:dyDescent="0.2">
      <c r="E1047" s="70"/>
      <c r="FT1047" s="44"/>
    </row>
    <row r="1048" spans="5:176" x14ac:dyDescent="0.2">
      <c r="E1048" s="70"/>
      <c r="FT1048" s="44"/>
    </row>
    <row r="1049" spans="5:176" x14ac:dyDescent="0.2">
      <c r="E1049" s="70"/>
      <c r="FT1049" s="44"/>
    </row>
    <row r="1050" spans="5:176" x14ac:dyDescent="0.2">
      <c r="E1050" s="70"/>
      <c r="FT1050" s="44"/>
    </row>
    <row r="1051" spans="5:176" x14ac:dyDescent="0.2">
      <c r="E1051" s="70"/>
      <c r="FT1051" s="44"/>
    </row>
    <row r="1052" spans="5:176" x14ac:dyDescent="0.2">
      <c r="E1052" s="70"/>
      <c r="FT1052" s="44"/>
    </row>
    <row r="1053" spans="5:176" x14ac:dyDescent="0.2">
      <c r="E1053" s="70"/>
      <c r="FT1053" s="44"/>
    </row>
    <row r="1054" spans="5:176" x14ac:dyDescent="0.2">
      <c r="E1054" s="70"/>
      <c r="FT1054" s="44"/>
    </row>
    <row r="1055" spans="5:176" x14ac:dyDescent="0.2">
      <c r="E1055" s="70"/>
      <c r="FT1055" s="44"/>
    </row>
    <row r="1056" spans="5:176" x14ac:dyDescent="0.2">
      <c r="E1056" s="70"/>
      <c r="FT1056" s="44"/>
    </row>
    <row r="1057" spans="5:176" x14ac:dyDescent="0.2">
      <c r="E1057" s="70"/>
      <c r="FT1057" s="44"/>
    </row>
    <row r="1058" spans="5:176" x14ac:dyDescent="0.2">
      <c r="E1058" s="70"/>
      <c r="FT1058" s="44"/>
    </row>
    <row r="1059" spans="5:176" x14ac:dyDescent="0.2">
      <c r="E1059" s="70"/>
      <c r="FT1059" s="44"/>
    </row>
    <row r="1060" spans="5:176" x14ac:dyDescent="0.2">
      <c r="E1060" s="70"/>
      <c r="FT1060" s="44"/>
    </row>
    <row r="1061" spans="5:176" x14ac:dyDescent="0.2">
      <c r="E1061" s="70"/>
      <c r="FT1061" s="44"/>
    </row>
    <row r="1062" spans="5:176" x14ac:dyDescent="0.2">
      <c r="E1062" s="70"/>
      <c r="FT1062" s="44"/>
    </row>
    <row r="1063" spans="5:176" x14ac:dyDescent="0.2">
      <c r="E1063" s="70"/>
      <c r="FT1063" s="44"/>
    </row>
    <row r="1064" spans="5:176" x14ac:dyDescent="0.2">
      <c r="E1064" s="70"/>
      <c r="FT1064" s="44"/>
    </row>
    <row r="1065" spans="5:176" x14ac:dyDescent="0.2">
      <c r="E1065" s="70"/>
      <c r="FT1065" s="44"/>
    </row>
    <row r="1066" spans="5:176" x14ac:dyDescent="0.2">
      <c r="E1066" s="70"/>
      <c r="FT1066" s="44"/>
    </row>
    <row r="1067" spans="5:176" x14ac:dyDescent="0.2">
      <c r="E1067" s="70"/>
      <c r="FT1067" s="44"/>
    </row>
    <row r="1068" spans="5:176" x14ac:dyDescent="0.2">
      <c r="E1068" s="70"/>
      <c r="FT1068" s="44"/>
    </row>
    <row r="1069" spans="5:176" x14ac:dyDescent="0.2">
      <c r="E1069" s="70"/>
      <c r="FT1069" s="44"/>
    </row>
    <row r="1070" spans="5:176" x14ac:dyDescent="0.2">
      <c r="E1070" s="70"/>
      <c r="FT1070" s="44"/>
    </row>
    <row r="1071" spans="5:176" x14ac:dyDescent="0.2">
      <c r="E1071" s="70"/>
      <c r="FT1071" s="44"/>
    </row>
    <row r="1072" spans="5:176" x14ac:dyDescent="0.2">
      <c r="E1072" s="70"/>
      <c r="FT1072" s="44"/>
    </row>
    <row r="1073" spans="5:176" x14ac:dyDescent="0.2">
      <c r="E1073" s="70"/>
      <c r="FT1073" s="44"/>
    </row>
    <row r="1074" spans="5:176" x14ac:dyDescent="0.2">
      <c r="E1074" s="70"/>
      <c r="FT1074" s="44"/>
    </row>
    <row r="1075" spans="5:176" x14ac:dyDescent="0.2">
      <c r="E1075" s="70"/>
      <c r="FT1075" s="44"/>
    </row>
    <row r="1076" spans="5:176" x14ac:dyDescent="0.2">
      <c r="E1076" s="70"/>
      <c r="FT1076" s="44"/>
    </row>
    <row r="1077" spans="5:176" x14ac:dyDescent="0.2">
      <c r="E1077" s="70"/>
      <c r="FT1077" s="44"/>
    </row>
    <row r="1078" spans="5:176" x14ac:dyDescent="0.2">
      <c r="E1078" s="70"/>
      <c r="FT1078" s="44"/>
    </row>
    <row r="1079" spans="5:176" x14ac:dyDescent="0.2">
      <c r="E1079" s="70"/>
      <c r="FT1079" s="44"/>
    </row>
    <row r="1080" spans="5:176" x14ac:dyDescent="0.2">
      <c r="E1080" s="70"/>
      <c r="FT1080" s="44"/>
    </row>
    <row r="1081" spans="5:176" x14ac:dyDescent="0.2">
      <c r="E1081" s="70"/>
      <c r="FT1081" s="44"/>
    </row>
    <row r="1082" spans="5:176" x14ac:dyDescent="0.2">
      <c r="E1082" s="70"/>
      <c r="FT1082" s="44"/>
    </row>
    <row r="1083" spans="5:176" x14ac:dyDescent="0.2">
      <c r="E1083" s="70"/>
      <c r="FT1083" s="44"/>
    </row>
    <row r="1084" spans="5:176" x14ac:dyDescent="0.2">
      <c r="E1084" s="70"/>
      <c r="FT1084" s="44"/>
    </row>
    <row r="1085" spans="5:176" x14ac:dyDescent="0.2">
      <c r="E1085" s="70"/>
      <c r="FT1085" s="44"/>
    </row>
    <row r="1086" spans="5:176" x14ac:dyDescent="0.2">
      <c r="E1086" s="70"/>
      <c r="FT1086" s="44"/>
    </row>
    <row r="1087" spans="5:176" x14ac:dyDescent="0.2">
      <c r="E1087" s="70"/>
      <c r="FT1087" s="44"/>
    </row>
    <row r="1088" spans="5:176" x14ac:dyDescent="0.2">
      <c r="E1088" s="70"/>
      <c r="FT1088" s="44"/>
    </row>
    <row r="1089" spans="5:176" x14ac:dyDescent="0.2">
      <c r="E1089" s="70"/>
      <c r="FT1089" s="44"/>
    </row>
    <row r="1090" spans="5:176" x14ac:dyDescent="0.2">
      <c r="E1090" s="70"/>
      <c r="FT1090" s="44"/>
    </row>
    <row r="1091" spans="5:176" x14ac:dyDescent="0.2">
      <c r="E1091" s="70"/>
      <c r="FT1091" s="44"/>
    </row>
    <row r="1092" spans="5:176" x14ac:dyDescent="0.2">
      <c r="E1092" s="70"/>
      <c r="FT1092" s="44"/>
    </row>
    <row r="1093" spans="5:176" x14ac:dyDescent="0.2">
      <c r="E1093" s="70"/>
      <c r="FT1093" s="44"/>
    </row>
    <row r="1094" spans="5:176" x14ac:dyDescent="0.2">
      <c r="E1094" s="70"/>
      <c r="FT1094" s="44"/>
    </row>
    <row r="1095" spans="5:176" x14ac:dyDescent="0.2">
      <c r="E1095" s="70"/>
      <c r="FT1095" s="44"/>
    </row>
    <row r="1096" spans="5:176" x14ac:dyDescent="0.2">
      <c r="E1096" s="70"/>
      <c r="FT1096" s="44"/>
    </row>
    <row r="1097" spans="5:176" x14ac:dyDescent="0.2">
      <c r="E1097" s="70"/>
      <c r="FT1097" s="44"/>
    </row>
    <row r="1098" spans="5:176" x14ac:dyDescent="0.2">
      <c r="E1098" s="70"/>
      <c r="FT1098" s="44"/>
    </row>
    <row r="1099" spans="5:176" x14ac:dyDescent="0.2">
      <c r="E1099" s="70"/>
      <c r="FT1099" s="44"/>
    </row>
    <row r="1100" spans="5:176" x14ac:dyDescent="0.2">
      <c r="E1100" s="70"/>
      <c r="FT1100" s="44"/>
    </row>
    <row r="1101" spans="5:176" x14ac:dyDescent="0.2">
      <c r="E1101" s="70"/>
      <c r="FT1101" s="44"/>
    </row>
    <row r="1102" spans="5:176" x14ac:dyDescent="0.2">
      <c r="E1102" s="70"/>
      <c r="FT1102" s="44"/>
    </row>
    <row r="1103" spans="5:176" x14ac:dyDescent="0.2">
      <c r="E1103" s="70"/>
      <c r="FT1103" s="44"/>
    </row>
    <row r="1104" spans="5:176" x14ac:dyDescent="0.2">
      <c r="E1104" s="70"/>
      <c r="FT1104" s="44"/>
    </row>
    <row r="1105" spans="5:176" x14ac:dyDescent="0.2">
      <c r="E1105" s="70"/>
      <c r="FT1105" s="44"/>
    </row>
    <row r="1106" spans="5:176" x14ac:dyDescent="0.2">
      <c r="E1106" s="70"/>
      <c r="FT1106" s="44"/>
    </row>
    <row r="1107" spans="5:176" x14ac:dyDescent="0.2">
      <c r="E1107" s="70"/>
      <c r="FT1107" s="44"/>
    </row>
    <row r="1108" spans="5:176" x14ac:dyDescent="0.2">
      <c r="E1108" s="70"/>
      <c r="FT1108" s="44"/>
    </row>
    <row r="1109" spans="5:176" x14ac:dyDescent="0.2">
      <c r="E1109" s="70"/>
      <c r="FT1109" s="44"/>
    </row>
    <row r="1110" spans="5:176" x14ac:dyDescent="0.2">
      <c r="E1110" s="70"/>
      <c r="FT1110" s="44"/>
    </row>
    <row r="1111" spans="5:176" x14ac:dyDescent="0.2">
      <c r="E1111" s="70"/>
      <c r="FT1111" s="44"/>
    </row>
    <row r="1112" spans="5:176" x14ac:dyDescent="0.2">
      <c r="E1112" s="70"/>
      <c r="FT1112" s="44"/>
    </row>
    <row r="1113" spans="5:176" x14ac:dyDescent="0.2">
      <c r="E1113" s="70"/>
      <c r="FT1113" s="44"/>
    </row>
    <row r="1114" spans="5:176" x14ac:dyDescent="0.2">
      <c r="E1114" s="70"/>
      <c r="FT1114" s="44"/>
    </row>
    <row r="1115" spans="5:176" x14ac:dyDescent="0.2">
      <c r="E1115" s="70"/>
      <c r="FT1115" s="44"/>
    </row>
    <row r="1116" spans="5:176" x14ac:dyDescent="0.2">
      <c r="E1116" s="70"/>
      <c r="FT1116" s="44"/>
    </row>
    <row r="1117" spans="5:176" x14ac:dyDescent="0.2">
      <c r="E1117" s="70"/>
      <c r="FT1117" s="44"/>
    </row>
    <row r="1118" spans="5:176" x14ac:dyDescent="0.2">
      <c r="E1118" s="70"/>
      <c r="FT1118" s="44"/>
    </row>
    <row r="1119" spans="5:176" x14ac:dyDescent="0.2">
      <c r="E1119" s="70"/>
      <c r="FT1119" s="44"/>
    </row>
    <row r="1120" spans="5:176" x14ac:dyDescent="0.2">
      <c r="E1120" s="70"/>
      <c r="FT1120" s="44"/>
    </row>
    <row r="1121" spans="5:176" x14ac:dyDescent="0.2">
      <c r="E1121" s="70"/>
      <c r="FT1121" s="44"/>
    </row>
    <row r="1122" spans="5:176" x14ac:dyDescent="0.2">
      <c r="E1122" s="70"/>
      <c r="FT1122" s="44"/>
    </row>
    <row r="1123" spans="5:176" x14ac:dyDescent="0.2">
      <c r="E1123" s="70"/>
      <c r="FT1123" s="44"/>
    </row>
    <row r="1124" spans="5:176" x14ac:dyDescent="0.2">
      <c r="E1124" s="70"/>
      <c r="FT1124" s="44"/>
    </row>
    <row r="1125" spans="5:176" x14ac:dyDescent="0.2">
      <c r="E1125" s="70"/>
      <c r="FT1125" s="44"/>
    </row>
    <row r="1126" spans="5:176" x14ac:dyDescent="0.2">
      <c r="E1126" s="70"/>
      <c r="FT1126" s="44"/>
    </row>
    <row r="1127" spans="5:176" x14ac:dyDescent="0.2">
      <c r="E1127" s="70"/>
      <c r="FT1127" s="44"/>
    </row>
    <row r="1128" spans="5:176" x14ac:dyDescent="0.2">
      <c r="E1128" s="70"/>
      <c r="FT1128" s="44"/>
    </row>
    <row r="1129" spans="5:176" x14ac:dyDescent="0.2">
      <c r="E1129" s="70"/>
      <c r="FT1129" s="44"/>
    </row>
    <row r="1130" spans="5:176" x14ac:dyDescent="0.2">
      <c r="E1130" s="70"/>
      <c r="FT1130" s="44"/>
    </row>
    <row r="1131" spans="5:176" x14ac:dyDescent="0.2">
      <c r="E1131" s="70"/>
      <c r="FT1131" s="44"/>
    </row>
    <row r="1132" spans="5:176" x14ac:dyDescent="0.2">
      <c r="E1132" s="70"/>
      <c r="FT1132" s="44"/>
    </row>
    <row r="1133" spans="5:176" x14ac:dyDescent="0.2">
      <c r="E1133" s="70"/>
      <c r="FT1133" s="44"/>
    </row>
    <row r="1134" spans="5:176" x14ac:dyDescent="0.2">
      <c r="E1134" s="70"/>
      <c r="FT1134" s="44"/>
    </row>
    <row r="1135" spans="5:176" x14ac:dyDescent="0.2">
      <c r="E1135" s="70"/>
      <c r="FT1135" s="44"/>
    </row>
    <row r="1136" spans="5:176" x14ac:dyDescent="0.2">
      <c r="E1136" s="70"/>
      <c r="FT1136" s="44"/>
    </row>
    <row r="1137" spans="5:176" x14ac:dyDescent="0.2">
      <c r="E1137" s="70"/>
      <c r="FT1137" s="44"/>
    </row>
    <row r="1138" spans="5:176" x14ac:dyDescent="0.2">
      <c r="E1138" s="70"/>
      <c r="FT1138" s="44"/>
    </row>
    <row r="1139" spans="5:176" x14ac:dyDescent="0.2">
      <c r="E1139" s="70"/>
      <c r="FT1139" s="44"/>
    </row>
    <row r="1140" spans="5:176" x14ac:dyDescent="0.2">
      <c r="E1140" s="70"/>
      <c r="FT1140" s="44"/>
    </row>
    <row r="1141" spans="5:176" x14ac:dyDescent="0.2">
      <c r="E1141" s="70"/>
      <c r="FT1141" s="44"/>
    </row>
    <row r="1142" spans="5:176" x14ac:dyDescent="0.2">
      <c r="E1142" s="70"/>
      <c r="FT1142" s="44"/>
    </row>
    <row r="1143" spans="5:176" x14ac:dyDescent="0.2">
      <c r="E1143" s="70"/>
      <c r="FT1143" s="44"/>
    </row>
    <row r="1144" spans="5:176" x14ac:dyDescent="0.2">
      <c r="E1144" s="70"/>
      <c r="FT1144" s="44"/>
    </row>
    <row r="1145" spans="5:176" x14ac:dyDescent="0.2">
      <c r="E1145" s="70"/>
      <c r="FT1145" s="44"/>
    </row>
    <row r="1146" spans="5:176" x14ac:dyDescent="0.2">
      <c r="E1146" s="70"/>
      <c r="FT1146" s="44"/>
    </row>
    <row r="1147" spans="5:176" x14ac:dyDescent="0.2">
      <c r="E1147" s="70"/>
      <c r="FT1147" s="44"/>
    </row>
    <row r="1148" spans="5:176" x14ac:dyDescent="0.2">
      <c r="E1148" s="70"/>
      <c r="FT1148" s="44"/>
    </row>
    <row r="1149" spans="5:176" x14ac:dyDescent="0.2">
      <c r="E1149" s="70"/>
      <c r="FT1149" s="44"/>
    </row>
    <row r="1150" spans="5:176" x14ac:dyDescent="0.2">
      <c r="E1150" s="70"/>
      <c r="FT1150" s="44"/>
    </row>
    <row r="1151" spans="5:176" x14ac:dyDescent="0.2">
      <c r="E1151" s="70"/>
      <c r="FT1151" s="44"/>
    </row>
    <row r="1152" spans="5:176" x14ac:dyDescent="0.2">
      <c r="E1152" s="70"/>
      <c r="FT1152" s="44"/>
    </row>
    <row r="1153" spans="5:176" x14ac:dyDescent="0.2">
      <c r="E1153" s="70"/>
      <c r="FT1153" s="44"/>
    </row>
    <row r="1154" spans="5:176" x14ac:dyDescent="0.2">
      <c r="E1154" s="70"/>
      <c r="FT1154" s="44"/>
    </row>
    <row r="1155" spans="5:176" x14ac:dyDescent="0.2">
      <c r="E1155" s="70"/>
      <c r="FT1155" s="44"/>
    </row>
    <row r="1156" spans="5:176" x14ac:dyDescent="0.2">
      <c r="E1156" s="70"/>
      <c r="FT1156" s="44"/>
    </row>
    <row r="1157" spans="5:176" x14ac:dyDescent="0.2">
      <c r="E1157" s="70"/>
      <c r="FT1157" s="44"/>
    </row>
    <row r="1158" spans="5:176" x14ac:dyDescent="0.2">
      <c r="E1158" s="70"/>
      <c r="FT1158" s="44"/>
    </row>
    <row r="1159" spans="5:176" x14ac:dyDescent="0.2">
      <c r="E1159" s="70"/>
      <c r="FT1159" s="44"/>
    </row>
    <row r="1160" spans="5:176" x14ac:dyDescent="0.2">
      <c r="E1160" s="70"/>
      <c r="FT1160" s="44"/>
    </row>
    <row r="1161" spans="5:176" x14ac:dyDescent="0.2">
      <c r="E1161" s="70"/>
      <c r="FT1161" s="44"/>
    </row>
    <row r="1162" spans="5:176" x14ac:dyDescent="0.2">
      <c r="E1162" s="70"/>
      <c r="FT1162" s="44"/>
    </row>
    <row r="1163" spans="5:176" x14ac:dyDescent="0.2">
      <c r="E1163" s="70"/>
      <c r="FT1163" s="44"/>
    </row>
    <row r="1164" spans="5:176" x14ac:dyDescent="0.2">
      <c r="E1164" s="70"/>
      <c r="FT1164" s="44"/>
    </row>
    <row r="1165" spans="5:176" x14ac:dyDescent="0.2">
      <c r="E1165" s="70"/>
      <c r="FT1165" s="44"/>
    </row>
    <row r="1166" spans="5:176" x14ac:dyDescent="0.2">
      <c r="E1166" s="70"/>
      <c r="FT1166" s="44"/>
    </row>
    <row r="1167" spans="5:176" x14ac:dyDescent="0.2">
      <c r="E1167" s="70"/>
      <c r="FT1167" s="44"/>
    </row>
    <row r="1168" spans="5:176" x14ac:dyDescent="0.2">
      <c r="E1168" s="70"/>
      <c r="FT1168" s="44"/>
    </row>
    <row r="1169" spans="5:176" x14ac:dyDescent="0.2">
      <c r="E1169" s="70"/>
      <c r="FT1169" s="44"/>
    </row>
    <row r="1170" spans="5:176" x14ac:dyDescent="0.2">
      <c r="E1170" s="70"/>
      <c r="FT1170" s="44"/>
    </row>
    <row r="1171" spans="5:176" x14ac:dyDescent="0.2">
      <c r="E1171" s="70"/>
      <c r="FT1171" s="44"/>
    </row>
    <row r="1172" spans="5:176" x14ac:dyDescent="0.2">
      <c r="E1172" s="70"/>
      <c r="FT1172" s="44"/>
    </row>
    <row r="1173" spans="5:176" x14ac:dyDescent="0.2">
      <c r="E1173" s="70"/>
      <c r="FT1173" s="44"/>
    </row>
    <row r="1174" spans="5:176" x14ac:dyDescent="0.2">
      <c r="E1174" s="70"/>
      <c r="FT1174" s="44"/>
    </row>
    <row r="1175" spans="5:176" x14ac:dyDescent="0.2">
      <c r="E1175" s="70"/>
      <c r="FT1175" s="44"/>
    </row>
    <row r="1176" spans="5:176" x14ac:dyDescent="0.2">
      <c r="E1176" s="70"/>
      <c r="FT1176" s="44"/>
    </row>
    <row r="1177" spans="5:176" x14ac:dyDescent="0.2">
      <c r="E1177" s="70"/>
      <c r="FT1177" s="44"/>
    </row>
    <row r="1178" spans="5:176" x14ac:dyDescent="0.2">
      <c r="E1178" s="70"/>
      <c r="FT1178" s="44"/>
    </row>
    <row r="1179" spans="5:176" x14ac:dyDescent="0.2">
      <c r="E1179" s="70"/>
      <c r="FT1179" s="44"/>
    </row>
    <row r="1180" spans="5:176" x14ac:dyDescent="0.2">
      <c r="E1180" s="70"/>
      <c r="FT1180" s="44"/>
    </row>
    <row r="1181" spans="5:176" x14ac:dyDescent="0.2">
      <c r="E1181" s="70"/>
      <c r="FT1181" s="44"/>
    </row>
    <row r="1182" spans="5:176" x14ac:dyDescent="0.2">
      <c r="E1182" s="70"/>
      <c r="FT1182" s="44"/>
    </row>
    <row r="1183" spans="5:176" x14ac:dyDescent="0.2">
      <c r="E1183" s="70"/>
      <c r="FT1183" s="44"/>
    </row>
    <row r="1184" spans="5:176" x14ac:dyDescent="0.2">
      <c r="E1184" s="70"/>
      <c r="FT1184" s="44"/>
    </row>
    <row r="1185" spans="5:176" x14ac:dyDescent="0.2">
      <c r="E1185" s="70"/>
      <c r="FT1185" s="44"/>
    </row>
    <row r="1186" spans="5:176" x14ac:dyDescent="0.2">
      <c r="E1186" s="70"/>
      <c r="FT1186" s="44"/>
    </row>
    <row r="1187" spans="5:176" x14ac:dyDescent="0.2">
      <c r="E1187" s="70"/>
      <c r="FT1187" s="44"/>
    </row>
    <row r="1188" spans="5:176" x14ac:dyDescent="0.2">
      <c r="E1188" s="70"/>
      <c r="FT1188" s="44"/>
    </row>
    <row r="1189" spans="5:176" x14ac:dyDescent="0.2">
      <c r="E1189" s="70"/>
      <c r="FT1189" s="44"/>
    </row>
    <row r="1190" spans="5:176" x14ac:dyDescent="0.2">
      <c r="E1190" s="70"/>
      <c r="FT1190" s="44"/>
    </row>
    <row r="1191" spans="5:176" x14ac:dyDescent="0.2">
      <c r="E1191" s="70"/>
      <c r="FT1191" s="44"/>
    </row>
    <row r="1192" spans="5:176" x14ac:dyDescent="0.2">
      <c r="E1192" s="70"/>
      <c r="FT1192" s="44"/>
    </row>
    <row r="1193" spans="5:176" x14ac:dyDescent="0.2">
      <c r="E1193" s="70"/>
      <c r="FT1193" s="44"/>
    </row>
    <row r="1194" spans="5:176" x14ac:dyDescent="0.2">
      <c r="E1194" s="70"/>
      <c r="FT1194" s="44"/>
    </row>
    <row r="1195" spans="5:176" x14ac:dyDescent="0.2">
      <c r="E1195" s="70"/>
      <c r="FT1195" s="44"/>
    </row>
    <row r="1196" spans="5:176" x14ac:dyDescent="0.2">
      <c r="E1196" s="70"/>
      <c r="FT1196" s="44"/>
    </row>
    <row r="1197" spans="5:176" x14ac:dyDescent="0.2">
      <c r="E1197" s="70"/>
      <c r="FT1197" s="44"/>
    </row>
    <row r="1198" spans="5:176" x14ac:dyDescent="0.2">
      <c r="E1198" s="70"/>
      <c r="FT1198" s="44"/>
    </row>
    <row r="1199" spans="5:176" x14ac:dyDescent="0.2">
      <c r="E1199" s="70"/>
      <c r="FT1199" s="44"/>
    </row>
    <row r="1200" spans="5:176" x14ac:dyDescent="0.2">
      <c r="E1200" s="70"/>
      <c r="FT1200" s="44"/>
    </row>
    <row r="1201" spans="5:176" x14ac:dyDescent="0.2">
      <c r="E1201" s="70"/>
      <c r="FT1201" s="44"/>
    </row>
    <row r="1202" spans="5:176" x14ac:dyDescent="0.2">
      <c r="E1202" s="70"/>
      <c r="FT1202" s="44"/>
    </row>
    <row r="1203" spans="5:176" x14ac:dyDescent="0.2">
      <c r="E1203" s="70"/>
      <c r="FT1203" s="44"/>
    </row>
    <row r="1204" spans="5:176" x14ac:dyDescent="0.2">
      <c r="E1204" s="70"/>
      <c r="FT1204" s="44"/>
    </row>
    <row r="1205" spans="5:176" x14ac:dyDescent="0.2">
      <c r="E1205" s="70"/>
      <c r="FT1205" s="44"/>
    </row>
    <row r="1206" spans="5:176" x14ac:dyDescent="0.2">
      <c r="E1206" s="70"/>
      <c r="FT1206" s="44"/>
    </row>
    <row r="1207" spans="5:176" x14ac:dyDescent="0.2">
      <c r="E1207" s="70"/>
      <c r="FT1207" s="44"/>
    </row>
    <row r="1208" spans="5:176" x14ac:dyDescent="0.2">
      <c r="E1208" s="70"/>
      <c r="FT1208" s="44"/>
    </row>
    <row r="1209" spans="5:176" x14ac:dyDescent="0.2">
      <c r="E1209" s="70"/>
      <c r="FT1209" s="44"/>
    </row>
    <row r="1210" spans="5:176" x14ac:dyDescent="0.2">
      <c r="E1210" s="70"/>
      <c r="FT1210" s="44"/>
    </row>
    <row r="1211" spans="5:176" x14ac:dyDescent="0.2">
      <c r="E1211" s="70"/>
      <c r="FT1211" s="44"/>
    </row>
    <row r="1212" spans="5:176" x14ac:dyDescent="0.2">
      <c r="E1212" s="70"/>
      <c r="FT1212" s="44"/>
    </row>
    <row r="1213" spans="5:176" x14ac:dyDescent="0.2">
      <c r="E1213" s="70"/>
      <c r="FT1213" s="44"/>
    </row>
    <row r="1214" spans="5:176" x14ac:dyDescent="0.2">
      <c r="E1214" s="70"/>
      <c r="FT1214" s="44"/>
    </row>
    <row r="1215" spans="5:176" x14ac:dyDescent="0.2">
      <c r="E1215" s="70"/>
      <c r="BF1215" s="61"/>
      <c r="FT1215" s="44"/>
    </row>
    <row r="1216" spans="5:176" x14ac:dyDescent="0.2">
      <c r="E1216" s="70"/>
      <c r="FT1216" s="44"/>
    </row>
    <row r="1217" spans="5:176" x14ac:dyDescent="0.2">
      <c r="E1217" s="70"/>
      <c r="FT1217" s="44"/>
    </row>
    <row r="1218" spans="5:176" x14ac:dyDescent="0.2">
      <c r="E1218" s="70"/>
      <c r="FT1218" s="44"/>
    </row>
    <row r="1219" spans="5:176" x14ac:dyDescent="0.2">
      <c r="E1219" s="70"/>
      <c r="FT1219" s="44"/>
    </row>
    <row r="1220" spans="5:176" x14ac:dyDescent="0.2">
      <c r="E1220" s="70"/>
      <c r="FT1220" s="44"/>
    </row>
    <row r="1221" spans="5:176" x14ac:dyDescent="0.2">
      <c r="E1221" s="70"/>
      <c r="FT1221" s="44"/>
    </row>
    <row r="1222" spans="5:176" x14ac:dyDescent="0.2">
      <c r="E1222" s="70"/>
      <c r="FT1222" s="44"/>
    </row>
    <row r="1223" spans="5:176" x14ac:dyDescent="0.2">
      <c r="E1223" s="70"/>
      <c r="FT1223" s="44"/>
    </row>
    <row r="1224" spans="5:176" x14ac:dyDescent="0.2">
      <c r="E1224" s="70"/>
      <c r="FT1224" s="44"/>
    </row>
    <row r="1225" spans="5:176" x14ac:dyDescent="0.2">
      <c r="E1225" s="70"/>
      <c r="FT1225" s="44"/>
    </row>
    <row r="1226" spans="5:176" x14ac:dyDescent="0.2">
      <c r="E1226" s="70"/>
      <c r="FT1226" s="44"/>
    </row>
    <row r="1227" spans="5:176" x14ac:dyDescent="0.2">
      <c r="E1227" s="70"/>
      <c r="FT1227" s="44"/>
    </row>
    <row r="1228" spans="5:176" x14ac:dyDescent="0.2">
      <c r="E1228" s="70"/>
      <c r="FT1228" s="44"/>
    </row>
    <row r="1229" spans="5:176" x14ac:dyDescent="0.2">
      <c r="E1229" s="70"/>
      <c r="FT1229" s="44"/>
    </row>
    <row r="1230" spans="5:176" x14ac:dyDescent="0.2">
      <c r="E1230" s="70"/>
      <c r="FT1230" s="44"/>
    </row>
    <row r="1231" spans="5:176" x14ac:dyDescent="0.2">
      <c r="E1231" s="70"/>
      <c r="FT1231" s="44"/>
    </row>
    <row r="1232" spans="5:176" x14ac:dyDescent="0.2">
      <c r="E1232" s="70"/>
      <c r="FT1232" s="44"/>
    </row>
    <row r="1233" spans="5:176" x14ac:dyDescent="0.2">
      <c r="E1233" s="70"/>
      <c r="FT1233" s="44"/>
    </row>
    <row r="1234" spans="5:176" x14ac:dyDescent="0.2">
      <c r="E1234" s="70"/>
      <c r="FT1234" s="44"/>
    </row>
    <row r="1235" spans="5:176" x14ac:dyDescent="0.2">
      <c r="E1235" s="70"/>
      <c r="FT1235" s="44"/>
    </row>
    <row r="1236" spans="5:176" x14ac:dyDescent="0.2">
      <c r="E1236" s="70"/>
      <c r="FT1236" s="44"/>
    </row>
    <row r="1237" spans="5:176" x14ac:dyDescent="0.2">
      <c r="E1237" s="70"/>
      <c r="FT1237" s="44"/>
    </row>
    <row r="1238" spans="5:176" x14ac:dyDescent="0.2">
      <c r="E1238" s="70"/>
      <c r="FT1238" s="44"/>
    </row>
    <row r="1239" spans="5:176" x14ac:dyDescent="0.2">
      <c r="E1239" s="70"/>
      <c r="FT1239" s="44"/>
    </row>
    <row r="1240" spans="5:176" x14ac:dyDescent="0.2">
      <c r="E1240" s="70"/>
      <c r="FT1240" s="44"/>
    </row>
    <row r="1241" spans="5:176" x14ac:dyDescent="0.2">
      <c r="E1241" s="70"/>
      <c r="FT1241" s="44"/>
    </row>
    <row r="1242" spans="5:176" x14ac:dyDescent="0.2">
      <c r="E1242" s="70"/>
      <c r="FT1242" s="44"/>
    </row>
    <row r="1243" spans="5:176" x14ac:dyDescent="0.2">
      <c r="E1243" s="70"/>
      <c r="FT1243" s="44"/>
    </row>
    <row r="1244" spans="5:176" x14ac:dyDescent="0.2">
      <c r="E1244" s="70"/>
      <c r="FT1244" s="44"/>
    </row>
    <row r="1245" spans="5:176" x14ac:dyDescent="0.2">
      <c r="E1245" s="70"/>
      <c r="FT1245" s="44"/>
    </row>
    <row r="1246" spans="5:176" x14ac:dyDescent="0.2">
      <c r="E1246" s="70"/>
      <c r="FT1246" s="44"/>
    </row>
    <row r="1247" spans="5:176" x14ac:dyDescent="0.2">
      <c r="E1247" s="70"/>
      <c r="FT1247" s="44"/>
    </row>
    <row r="1248" spans="5:176" x14ac:dyDescent="0.2">
      <c r="E1248" s="70"/>
      <c r="FT1248" s="44"/>
    </row>
    <row r="1249" spans="5:176" x14ac:dyDescent="0.2">
      <c r="E1249" s="70"/>
      <c r="FT1249" s="44"/>
    </row>
    <row r="1250" spans="5:176" x14ac:dyDescent="0.2">
      <c r="E1250" s="70"/>
      <c r="FT1250" s="44"/>
    </row>
    <row r="1251" spans="5:176" x14ac:dyDescent="0.2">
      <c r="E1251" s="70"/>
      <c r="FT1251" s="44"/>
    </row>
    <row r="1252" spans="5:176" x14ac:dyDescent="0.2">
      <c r="E1252" s="70"/>
      <c r="FT1252" s="44"/>
    </row>
    <row r="1253" spans="5:176" x14ac:dyDescent="0.2">
      <c r="E1253" s="70"/>
      <c r="FT1253" s="44"/>
    </row>
    <row r="1254" spans="5:176" x14ac:dyDescent="0.2">
      <c r="E1254" s="70"/>
      <c r="FT1254" s="44"/>
    </row>
    <row r="1255" spans="5:176" x14ac:dyDescent="0.2">
      <c r="E1255" s="70"/>
      <c r="FT1255" s="44"/>
    </row>
    <row r="1256" spans="5:176" x14ac:dyDescent="0.2">
      <c r="E1256" s="70"/>
      <c r="FT1256" s="44"/>
    </row>
    <row r="1257" spans="5:176" x14ac:dyDescent="0.2">
      <c r="E1257" s="70"/>
      <c r="FT1257" s="44"/>
    </row>
    <row r="1258" spans="5:176" x14ac:dyDescent="0.2">
      <c r="E1258" s="70"/>
      <c r="FT1258" s="44"/>
    </row>
    <row r="1259" spans="5:176" x14ac:dyDescent="0.2">
      <c r="E1259" s="70"/>
      <c r="FT1259" s="44"/>
    </row>
    <row r="1260" spans="5:176" x14ac:dyDescent="0.2">
      <c r="E1260" s="70"/>
      <c r="FT1260" s="44"/>
    </row>
    <row r="1261" spans="5:176" x14ac:dyDescent="0.2">
      <c r="E1261" s="70"/>
      <c r="FT1261" s="44"/>
    </row>
    <row r="1262" spans="5:176" x14ac:dyDescent="0.2">
      <c r="E1262" s="70"/>
      <c r="FT1262" s="44"/>
    </row>
    <row r="1263" spans="5:176" x14ac:dyDescent="0.2">
      <c r="E1263" s="70"/>
      <c r="FT1263" s="44"/>
    </row>
    <row r="1264" spans="5:176" x14ac:dyDescent="0.2">
      <c r="E1264" s="70"/>
      <c r="FT1264" s="44"/>
    </row>
    <row r="1265" spans="5:176" x14ac:dyDescent="0.2">
      <c r="E1265" s="70"/>
      <c r="FT1265" s="44"/>
    </row>
    <row r="1266" spans="5:176" x14ac:dyDescent="0.2">
      <c r="E1266" s="70"/>
      <c r="FT1266" s="44"/>
    </row>
    <row r="1267" spans="5:176" x14ac:dyDescent="0.2">
      <c r="E1267" s="70"/>
      <c r="FT1267" s="44"/>
    </row>
    <row r="1268" spans="5:176" x14ac:dyDescent="0.2">
      <c r="E1268" s="70"/>
      <c r="FT1268" s="44"/>
    </row>
    <row r="1269" spans="5:176" x14ac:dyDescent="0.2">
      <c r="E1269" s="70"/>
      <c r="FT1269" s="44"/>
    </row>
    <row r="1270" spans="5:176" x14ac:dyDescent="0.2">
      <c r="E1270" s="70"/>
      <c r="FT1270" s="44"/>
    </row>
    <row r="1271" spans="5:176" x14ac:dyDescent="0.2">
      <c r="E1271" s="70"/>
      <c r="FT1271" s="44"/>
    </row>
    <row r="1272" spans="5:176" x14ac:dyDescent="0.2">
      <c r="E1272" s="70"/>
      <c r="FT1272" s="44"/>
    </row>
    <row r="1273" spans="5:176" x14ac:dyDescent="0.2">
      <c r="E1273" s="70"/>
      <c r="FT1273" s="44"/>
    </row>
    <row r="1274" spans="5:176" x14ac:dyDescent="0.2">
      <c r="E1274" s="70"/>
      <c r="FT1274" s="44"/>
    </row>
    <row r="1275" spans="5:176" x14ac:dyDescent="0.2">
      <c r="E1275" s="70"/>
      <c r="FT1275" s="44"/>
    </row>
    <row r="1276" spans="5:176" x14ac:dyDescent="0.2">
      <c r="E1276" s="70"/>
      <c r="FT1276" s="44"/>
    </row>
    <row r="1277" spans="5:176" x14ac:dyDescent="0.2">
      <c r="E1277" s="70"/>
      <c r="FT1277" s="44"/>
    </row>
    <row r="1278" spans="5:176" x14ac:dyDescent="0.2">
      <c r="E1278" s="70"/>
      <c r="FT1278" s="44"/>
    </row>
    <row r="1279" spans="5:176" x14ac:dyDescent="0.2">
      <c r="E1279" s="70"/>
      <c r="FT1279" s="44"/>
    </row>
    <row r="1280" spans="5:176" x14ac:dyDescent="0.2">
      <c r="E1280" s="70"/>
      <c r="FT1280" s="44"/>
    </row>
    <row r="1281" spans="5:176" x14ac:dyDescent="0.2">
      <c r="E1281" s="70"/>
      <c r="FT1281" s="44"/>
    </row>
    <row r="1282" spans="5:176" x14ac:dyDescent="0.2">
      <c r="E1282" s="70"/>
      <c r="FT1282" s="44"/>
    </row>
    <row r="1283" spans="5:176" x14ac:dyDescent="0.2">
      <c r="E1283" s="70"/>
      <c r="FT1283" s="44"/>
    </row>
    <row r="1284" spans="5:176" x14ac:dyDescent="0.2">
      <c r="E1284" s="70"/>
      <c r="FT1284" s="44"/>
    </row>
    <row r="1285" spans="5:176" x14ac:dyDescent="0.2">
      <c r="E1285" s="70"/>
      <c r="FT1285" s="44"/>
    </row>
    <row r="1286" spans="5:176" x14ac:dyDescent="0.2">
      <c r="E1286" s="70"/>
      <c r="FT1286" s="44"/>
    </row>
    <row r="1287" spans="5:176" x14ac:dyDescent="0.2">
      <c r="E1287" s="70"/>
      <c r="FT1287" s="44"/>
    </row>
    <row r="1288" spans="5:176" x14ac:dyDescent="0.2">
      <c r="E1288" s="70"/>
      <c r="FT1288" s="44"/>
    </row>
    <row r="1289" spans="5:176" x14ac:dyDescent="0.2">
      <c r="E1289" s="70"/>
      <c r="FT1289" s="44"/>
    </row>
    <row r="1290" spans="5:176" x14ac:dyDescent="0.2">
      <c r="E1290" s="70"/>
      <c r="FT1290" s="44"/>
    </row>
    <row r="1291" spans="5:176" x14ac:dyDescent="0.2">
      <c r="E1291" s="70"/>
      <c r="FT1291" s="44"/>
    </row>
    <row r="1292" spans="5:176" x14ac:dyDescent="0.2">
      <c r="E1292" s="70"/>
      <c r="FT1292" s="44"/>
    </row>
    <row r="1293" spans="5:176" x14ac:dyDescent="0.2">
      <c r="E1293" s="70"/>
      <c r="FT1293" s="44"/>
    </row>
    <row r="1294" spans="5:176" x14ac:dyDescent="0.2">
      <c r="E1294" s="70"/>
      <c r="FT1294" s="44"/>
    </row>
    <row r="1295" spans="5:176" x14ac:dyDescent="0.2">
      <c r="E1295" s="70"/>
      <c r="FT1295" s="44"/>
    </row>
    <row r="1296" spans="5:176" x14ac:dyDescent="0.2">
      <c r="E1296" s="70"/>
      <c r="FT1296" s="44"/>
    </row>
    <row r="1297" spans="5:176" x14ac:dyDescent="0.2">
      <c r="E1297" s="70"/>
      <c r="FT1297" s="44"/>
    </row>
    <row r="1298" spans="5:176" x14ac:dyDescent="0.2">
      <c r="E1298" s="70"/>
      <c r="FT1298" s="44"/>
    </row>
    <row r="1299" spans="5:176" x14ac:dyDescent="0.2">
      <c r="E1299" s="70"/>
      <c r="FT1299" s="44"/>
    </row>
    <row r="1300" spans="5:176" x14ac:dyDescent="0.2">
      <c r="E1300" s="70"/>
      <c r="FT1300" s="44"/>
    </row>
    <row r="1301" spans="5:176" x14ac:dyDescent="0.2">
      <c r="E1301" s="70"/>
      <c r="FT1301" s="44"/>
    </row>
    <row r="1302" spans="5:176" x14ac:dyDescent="0.2">
      <c r="E1302" s="70"/>
      <c r="FT1302" s="44"/>
    </row>
    <row r="1303" spans="5:176" x14ac:dyDescent="0.2">
      <c r="E1303" s="70"/>
      <c r="FT1303" s="44"/>
    </row>
    <row r="1304" spans="5:176" x14ac:dyDescent="0.2">
      <c r="E1304" s="70"/>
      <c r="FT1304" s="44"/>
    </row>
    <row r="1305" spans="5:176" x14ac:dyDescent="0.2">
      <c r="E1305" s="70"/>
      <c r="FT1305" s="44"/>
    </row>
    <row r="1306" spans="5:176" x14ac:dyDescent="0.2">
      <c r="E1306" s="70"/>
      <c r="FT1306" s="44"/>
    </row>
    <row r="1307" spans="5:176" x14ac:dyDescent="0.2">
      <c r="E1307" s="70"/>
      <c r="FT1307" s="44"/>
    </row>
    <row r="1308" spans="5:176" x14ac:dyDescent="0.2">
      <c r="E1308" s="70"/>
      <c r="FT1308" s="44"/>
    </row>
    <row r="1309" spans="5:176" x14ac:dyDescent="0.2">
      <c r="E1309" s="70"/>
      <c r="FT1309" s="44"/>
    </row>
    <row r="1310" spans="5:176" x14ac:dyDescent="0.2">
      <c r="E1310" s="70"/>
      <c r="FT1310" s="44"/>
    </row>
    <row r="1311" spans="5:176" x14ac:dyDescent="0.2">
      <c r="E1311" s="70"/>
      <c r="FT1311" s="44"/>
    </row>
    <row r="1312" spans="5:176" x14ac:dyDescent="0.2">
      <c r="E1312" s="70"/>
      <c r="FT1312" s="44"/>
    </row>
    <row r="1313" spans="5:176" x14ac:dyDescent="0.2">
      <c r="E1313" s="70"/>
      <c r="FT1313" s="44"/>
    </row>
    <row r="1314" spans="5:176" x14ac:dyDescent="0.2">
      <c r="E1314" s="70"/>
      <c r="FT1314" s="44"/>
    </row>
    <row r="1315" spans="5:176" x14ac:dyDescent="0.2">
      <c r="E1315" s="70"/>
      <c r="FT1315" s="44"/>
    </row>
    <row r="1316" spans="5:176" x14ac:dyDescent="0.2">
      <c r="E1316" s="70"/>
      <c r="FT1316" s="44"/>
    </row>
    <row r="1317" spans="5:176" x14ac:dyDescent="0.2">
      <c r="E1317" s="70"/>
      <c r="FT1317" s="44"/>
    </row>
    <row r="1318" spans="5:176" x14ac:dyDescent="0.2">
      <c r="E1318" s="70"/>
      <c r="FT1318" s="44"/>
    </row>
    <row r="1319" spans="5:176" x14ac:dyDescent="0.2">
      <c r="E1319" s="70"/>
      <c r="FT1319" s="44"/>
    </row>
    <row r="1320" spans="5:176" x14ac:dyDescent="0.2">
      <c r="E1320" s="70"/>
      <c r="FT1320" s="44"/>
    </row>
    <row r="1321" spans="5:176" x14ac:dyDescent="0.2">
      <c r="E1321" s="70"/>
      <c r="FT1321" s="44"/>
    </row>
    <row r="1322" spans="5:176" x14ac:dyDescent="0.2">
      <c r="E1322" s="70"/>
      <c r="FT1322" s="44"/>
    </row>
    <row r="1323" spans="5:176" x14ac:dyDescent="0.2">
      <c r="E1323" s="70"/>
      <c r="FT1323" s="44"/>
    </row>
    <row r="1324" spans="5:176" x14ac:dyDescent="0.2">
      <c r="E1324" s="70"/>
      <c r="FT1324" s="44"/>
    </row>
    <row r="1325" spans="5:176" x14ac:dyDescent="0.2">
      <c r="E1325" s="70"/>
      <c r="FT1325" s="44"/>
    </row>
    <row r="1326" spans="5:176" x14ac:dyDescent="0.2">
      <c r="E1326" s="70"/>
      <c r="FT1326" s="44"/>
    </row>
    <row r="1327" spans="5:176" x14ac:dyDescent="0.2">
      <c r="E1327" s="70"/>
      <c r="FT1327" s="44"/>
    </row>
    <row r="1328" spans="5:176" x14ac:dyDescent="0.2">
      <c r="E1328" s="70"/>
      <c r="FT1328" s="44"/>
    </row>
    <row r="1329" spans="5:176" x14ac:dyDescent="0.2">
      <c r="E1329" s="70"/>
      <c r="FT1329" s="44"/>
    </row>
    <row r="1330" spans="5:176" x14ac:dyDescent="0.2">
      <c r="E1330" s="70"/>
      <c r="FT1330" s="44"/>
    </row>
    <row r="1331" spans="5:176" x14ac:dyDescent="0.2">
      <c r="E1331" s="70"/>
      <c r="FT1331" s="44"/>
    </row>
    <row r="1332" spans="5:176" x14ac:dyDescent="0.2">
      <c r="E1332" s="70"/>
      <c r="FT1332" s="44"/>
    </row>
    <row r="1333" spans="5:176" x14ac:dyDescent="0.2">
      <c r="E1333" s="70"/>
      <c r="FT1333" s="44"/>
    </row>
    <row r="1334" spans="5:176" x14ac:dyDescent="0.2">
      <c r="E1334" s="70"/>
      <c r="FT1334" s="44"/>
    </row>
    <row r="1335" spans="5:176" x14ac:dyDescent="0.2">
      <c r="E1335" s="70"/>
      <c r="FT1335" s="44"/>
    </row>
    <row r="1336" spans="5:176" x14ac:dyDescent="0.2">
      <c r="E1336" s="70"/>
      <c r="FT1336" s="44"/>
    </row>
    <row r="1337" spans="5:176" x14ac:dyDescent="0.2">
      <c r="E1337" s="70"/>
      <c r="FT1337" s="44"/>
    </row>
    <row r="1338" spans="5:176" x14ac:dyDescent="0.2">
      <c r="E1338" s="70"/>
      <c r="FT1338" s="44"/>
    </row>
    <row r="1339" spans="5:176" x14ac:dyDescent="0.2">
      <c r="E1339" s="70"/>
      <c r="FT1339" s="44"/>
    </row>
    <row r="1340" spans="5:176" x14ac:dyDescent="0.2">
      <c r="E1340" s="70"/>
      <c r="FT1340" s="44"/>
    </row>
    <row r="1341" spans="5:176" x14ac:dyDescent="0.2">
      <c r="E1341" s="70"/>
      <c r="FT1341" s="44"/>
    </row>
    <row r="1342" spans="5:176" x14ac:dyDescent="0.2">
      <c r="E1342" s="70"/>
      <c r="FT1342" s="44"/>
    </row>
    <row r="1343" spans="5:176" x14ac:dyDescent="0.2">
      <c r="E1343" s="70"/>
      <c r="FT1343" s="44"/>
    </row>
    <row r="1344" spans="5:176" x14ac:dyDescent="0.2">
      <c r="E1344" s="70"/>
      <c r="FT1344" s="44"/>
    </row>
    <row r="1345" spans="5:176" x14ac:dyDescent="0.2">
      <c r="E1345" s="70"/>
      <c r="FT1345" s="44"/>
    </row>
    <row r="1346" spans="5:176" x14ac:dyDescent="0.2">
      <c r="E1346" s="70"/>
      <c r="FT1346" s="44"/>
    </row>
    <row r="1347" spans="5:176" x14ac:dyDescent="0.2">
      <c r="E1347" s="70"/>
      <c r="FT1347" s="44"/>
    </row>
    <row r="1348" spans="5:176" x14ac:dyDescent="0.2">
      <c r="E1348" s="70"/>
      <c r="FT1348" s="44"/>
    </row>
    <row r="1349" spans="5:176" x14ac:dyDescent="0.2">
      <c r="E1349" s="70"/>
      <c r="FT1349" s="44"/>
    </row>
    <row r="1350" spans="5:176" x14ac:dyDescent="0.2">
      <c r="E1350" s="70"/>
      <c r="FT1350" s="44"/>
    </row>
    <row r="1351" spans="5:176" x14ac:dyDescent="0.2">
      <c r="E1351" s="70"/>
      <c r="FT1351" s="44"/>
    </row>
    <row r="1352" spans="5:176" x14ac:dyDescent="0.2">
      <c r="E1352" s="70"/>
      <c r="FT1352" s="44"/>
    </row>
    <row r="1353" spans="5:176" x14ac:dyDescent="0.2">
      <c r="E1353" s="70"/>
      <c r="FT1353" s="44"/>
    </row>
    <row r="1354" spans="5:176" x14ac:dyDescent="0.2">
      <c r="E1354" s="70"/>
      <c r="FT1354" s="44"/>
    </row>
    <row r="1355" spans="5:176" x14ac:dyDescent="0.2">
      <c r="E1355" s="70"/>
      <c r="FT1355" s="44"/>
    </row>
    <row r="1356" spans="5:176" x14ac:dyDescent="0.2">
      <c r="E1356" s="70"/>
      <c r="FT1356" s="44"/>
    </row>
    <row r="1357" spans="5:176" x14ac:dyDescent="0.2">
      <c r="E1357" s="70"/>
      <c r="FT1357" s="44"/>
    </row>
    <row r="1358" spans="5:176" x14ac:dyDescent="0.2">
      <c r="E1358" s="70"/>
      <c r="FT1358" s="44"/>
    </row>
    <row r="1359" spans="5:176" x14ac:dyDescent="0.2">
      <c r="E1359" s="70"/>
      <c r="FT1359" s="44"/>
    </row>
    <row r="1360" spans="5:176" x14ac:dyDescent="0.2">
      <c r="E1360" s="70"/>
      <c r="FT1360" s="44"/>
    </row>
    <row r="1361" spans="5:176" x14ac:dyDescent="0.2">
      <c r="E1361" s="70"/>
      <c r="FT1361" s="44"/>
    </row>
    <row r="1362" spans="5:176" x14ac:dyDescent="0.2">
      <c r="E1362" s="70"/>
      <c r="FT1362" s="44"/>
    </row>
    <row r="1363" spans="5:176" x14ac:dyDescent="0.2">
      <c r="E1363" s="70"/>
      <c r="FT1363" s="44"/>
    </row>
    <row r="1364" spans="5:176" x14ac:dyDescent="0.2">
      <c r="E1364" s="70"/>
      <c r="FT1364" s="44"/>
    </row>
    <row r="1365" spans="5:176" x14ac:dyDescent="0.2">
      <c r="E1365" s="70"/>
      <c r="FT1365" s="44"/>
    </row>
    <row r="1366" spans="5:176" x14ac:dyDescent="0.2">
      <c r="E1366" s="70"/>
      <c r="FT1366" s="44"/>
    </row>
    <row r="1367" spans="5:176" x14ac:dyDescent="0.2">
      <c r="E1367" s="70"/>
      <c r="FT1367" s="44"/>
    </row>
    <row r="1368" spans="5:176" x14ac:dyDescent="0.2">
      <c r="E1368" s="70"/>
      <c r="FT1368" s="44"/>
    </row>
    <row r="1369" spans="5:176" x14ac:dyDescent="0.2">
      <c r="E1369" s="70"/>
      <c r="FT1369" s="44"/>
    </row>
    <row r="1370" spans="5:176" x14ac:dyDescent="0.2">
      <c r="E1370" s="70"/>
      <c r="FT1370" s="44"/>
    </row>
    <row r="1371" spans="5:176" x14ac:dyDescent="0.2">
      <c r="E1371" s="70"/>
      <c r="FT1371" s="44"/>
    </row>
    <row r="1372" spans="5:176" x14ac:dyDescent="0.2">
      <c r="E1372" s="70"/>
      <c r="FT1372" s="44"/>
    </row>
    <row r="1373" spans="5:176" x14ac:dyDescent="0.2">
      <c r="E1373" s="70"/>
      <c r="FT1373" s="44"/>
    </row>
    <row r="1374" spans="5:176" x14ac:dyDescent="0.2">
      <c r="E1374" s="70"/>
      <c r="FT1374" s="44"/>
    </row>
    <row r="1375" spans="5:176" x14ac:dyDescent="0.2">
      <c r="E1375" s="70"/>
      <c r="FT1375" s="44"/>
    </row>
    <row r="1376" spans="5:176" x14ac:dyDescent="0.2">
      <c r="E1376" s="70"/>
      <c r="FT1376" s="44"/>
    </row>
    <row r="1377" spans="5:176" x14ac:dyDescent="0.2">
      <c r="E1377" s="70"/>
      <c r="FT1377" s="44"/>
    </row>
    <row r="1378" spans="5:176" x14ac:dyDescent="0.2">
      <c r="E1378" s="70"/>
      <c r="FT1378" s="44"/>
    </row>
    <row r="1379" spans="5:176" x14ac:dyDescent="0.2">
      <c r="E1379" s="70"/>
      <c r="FT1379" s="44"/>
    </row>
    <row r="1380" spans="5:176" x14ac:dyDescent="0.2">
      <c r="E1380" s="70"/>
      <c r="FT1380" s="44"/>
    </row>
    <row r="1381" spans="5:176" x14ac:dyDescent="0.2">
      <c r="E1381" s="70"/>
      <c r="FT1381" s="44"/>
    </row>
    <row r="1382" spans="5:176" x14ac:dyDescent="0.2">
      <c r="E1382" s="70"/>
      <c r="FT1382" s="44"/>
    </row>
    <row r="1383" spans="5:176" x14ac:dyDescent="0.2">
      <c r="E1383" s="70"/>
      <c r="FT1383" s="44"/>
    </row>
    <row r="1384" spans="5:176" x14ac:dyDescent="0.2">
      <c r="E1384" s="70"/>
      <c r="FT1384" s="44"/>
    </row>
    <row r="1385" spans="5:176" x14ac:dyDescent="0.2">
      <c r="E1385" s="70"/>
      <c r="FT1385" s="44"/>
    </row>
    <row r="1386" spans="5:176" x14ac:dyDescent="0.2">
      <c r="E1386" s="70"/>
      <c r="FT1386" s="44"/>
    </row>
    <row r="1387" spans="5:176" x14ac:dyDescent="0.2">
      <c r="E1387" s="70"/>
      <c r="FT1387" s="44"/>
    </row>
    <row r="1388" spans="5:176" x14ac:dyDescent="0.2">
      <c r="E1388" s="70"/>
      <c r="FT1388" s="44"/>
    </row>
    <row r="1389" spans="5:176" x14ac:dyDescent="0.2">
      <c r="E1389" s="70"/>
      <c r="FT1389" s="44"/>
    </row>
    <row r="1390" spans="5:176" x14ac:dyDescent="0.2">
      <c r="E1390" s="70"/>
      <c r="FT1390" s="44"/>
    </row>
    <row r="1391" spans="5:176" x14ac:dyDescent="0.2">
      <c r="E1391" s="70"/>
      <c r="FT1391" s="44"/>
    </row>
    <row r="1392" spans="5:176" x14ac:dyDescent="0.2">
      <c r="E1392" s="70"/>
      <c r="FT1392" s="44"/>
    </row>
    <row r="1393" spans="5:176" x14ac:dyDescent="0.2">
      <c r="E1393" s="70"/>
      <c r="FT1393" s="44"/>
    </row>
    <row r="1394" spans="5:176" x14ac:dyDescent="0.2">
      <c r="E1394" s="70"/>
      <c r="FT1394" s="44"/>
    </row>
    <row r="1395" spans="5:176" x14ac:dyDescent="0.2">
      <c r="E1395" s="70"/>
      <c r="FT1395" s="44"/>
    </row>
    <row r="1396" spans="5:176" x14ac:dyDescent="0.2">
      <c r="E1396" s="70"/>
      <c r="FT1396" s="44"/>
    </row>
    <row r="1397" spans="5:176" x14ac:dyDescent="0.2">
      <c r="E1397" s="70"/>
      <c r="FT1397" s="44"/>
    </row>
    <row r="1398" spans="5:176" x14ac:dyDescent="0.2">
      <c r="E1398" s="70"/>
      <c r="FT1398" s="44"/>
    </row>
    <row r="1399" spans="5:176" x14ac:dyDescent="0.2">
      <c r="E1399" s="70"/>
      <c r="FT1399" s="44"/>
    </row>
    <row r="1400" spans="5:176" x14ac:dyDescent="0.2">
      <c r="E1400" s="70"/>
      <c r="FT1400" s="44"/>
    </row>
    <row r="1401" spans="5:176" x14ac:dyDescent="0.2">
      <c r="E1401" s="70"/>
      <c r="FT1401" s="44"/>
    </row>
    <row r="1402" spans="5:176" x14ac:dyDescent="0.2">
      <c r="E1402" s="70"/>
      <c r="FT1402" s="44"/>
    </row>
    <row r="1403" spans="5:176" x14ac:dyDescent="0.2">
      <c r="E1403" s="70"/>
      <c r="FT1403" s="44"/>
    </row>
    <row r="1404" spans="5:176" x14ac:dyDescent="0.2">
      <c r="E1404" s="70"/>
      <c r="FT1404" s="44"/>
    </row>
    <row r="1405" spans="5:176" x14ac:dyDescent="0.2">
      <c r="E1405" s="70"/>
      <c r="FT1405" s="44"/>
    </row>
    <row r="1406" spans="5:176" x14ac:dyDescent="0.2">
      <c r="E1406" s="70"/>
      <c r="FT1406" s="44"/>
    </row>
    <row r="1407" spans="5:176" x14ac:dyDescent="0.2">
      <c r="E1407" s="70"/>
      <c r="FT1407" s="44"/>
    </row>
    <row r="1408" spans="5:176" x14ac:dyDescent="0.2">
      <c r="E1408" s="70"/>
      <c r="FT1408" s="44"/>
    </row>
    <row r="1409" spans="5:176" x14ac:dyDescent="0.2">
      <c r="E1409" s="70"/>
      <c r="FT1409" s="44"/>
    </row>
    <row r="1410" spans="5:176" x14ac:dyDescent="0.2">
      <c r="E1410" s="70"/>
      <c r="FT1410" s="44"/>
    </row>
    <row r="1411" spans="5:176" x14ac:dyDescent="0.2">
      <c r="E1411" s="70"/>
      <c r="FT1411" s="44"/>
    </row>
    <row r="1412" spans="5:176" x14ac:dyDescent="0.2">
      <c r="E1412" s="70"/>
      <c r="FT1412" s="44"/>
    </row>
    <row r="1413" spans="5:176" x14ac:dyDescent="0.2">
      <c r="E1413" s="70"/>
      <c r="FT1413" s="44"/>
    </row>
    <row r="1414" spans="5:176" x14ac:dyDescent="0.2">
      <c r="E1414" s="70"/>
      <c r="FT1414" s="44"/>
    </row>
    <row r="1415" spans="5:176" x14ac:dyDescent="0.2">
      <c r="E1415" s="70"/>
      <c r="FT1415" s="44"/>
    </row>
    <row r="1416" spans="5:176" x14ac:dyDescent="0.2">
      <c r="E1416" s="70"/>
      <c r="FT1416" s="44"/>
    </row>
    <row r="1417" spans="5:176" x14ac:dyDescent="0.2">
      <c r="E1417" s="70"/>
      <c r="FT1417" s="44"/>
    </row>
    <row r="1418" spans="5:176" x14ac:dyDescent="0.2">
      <c r="E1418" s="70"/>
      <c r="FT1418" s="44"/>
    </row>
    <row r="1419" spans="5:176" x14ac:dyDescent="0.2">
      <c r="E1419" s="70"/>
      <c r="FT1419" s="44"/>
    </row>
    <row r="1420" spans="5:176" x14ac:dyDescent="0.2">
      <c r="E1420" s="70"/>
      <c r="FT1420" s="44"/>
    </row>
    <row r="1421" spans="5:176" x14ac:dyDescent="0.2">
      <c r="E1421" s="70"/>
      <c r="FT1421" s="44"/>
    </row>
    <row r="1422" spans="5:176" x14ac:dyDescent="0.2">
      <c r="E1422" s="70"/>
      <c r="FT1422" s="44"/>
    </row>
    <row r="1423" spans="5:176" x14ac:dyDescent="0.2">
      <c r="E1423" s="70"/>
      <c r="FT1423" s="44"/>
    </row>
    <row r="1424" spans="5:176" x14ac:dyDescent="0.2">
      <c r="E1424" s="70"/>
      <c r="FT1424" s="44"/>
    </row>
    <row r="1425" spans="5:176" x14ac:dyDescent="0.2">
      <c r="E1425" s="70"/>
      <c r="FT1425" s="44"/>
    </row>
    <row r="1426" spans="5:176" x14ac:dyDescent="0.2">
      <c r="E1426" s="70"/>
      <c r="FT1426" s="44"/>
    </row>
    <row r="1427" spans="5:176" x14ac:dyDescent="0.2">
      <c r="E1427" s="70"/>
      <c r="FT1427" s="44"/>
    </row>
    <row r="1428" spans="5:176" x14ac:dyDescent="0.2">
      <c r="E1428" s="70"/>
      <c r="FT1428" s="44"/>
    </row>
    <row r="1429" spans="5:176" x14ac:dyDescent="0.2">
      <c r="E1429" s="70"/>
      <c r="FT1429" s="44"/>
    </row>
    <row r="1430" spans="5:176" x14ac:dyDescent="0.2">
      <c r="E1430" s="70"/>
      <c r="FT1430" s="44"/>
    </row>
    <row r="1431" spans="5:176" x14ac:dyDescent="0.2">
      <c r="E1431" s="70"/>
      <c r="FT1431" s="44"/>
    </row>
    <row r="1432" spans="5:176" x14ac:dyDescent="0.2">
      <c r="E1432" s="70"/>
      <c r="FT1432" s="44"/>
    </row>
    <row r="1433" spans="5:176" x14ac:dyDescent="0.2">
      <c r="E1433" s="70"/>
      <c r="FT1433" s="44"/>
    </row>
    <row r="1434" spans="5:176" x14ac:dyDescent="0.2">
      <c r="E1434" s="70"/>
      <c r="FT1434" s="44"/>
    </row>
    <row r="1435" spans="5:176" x14ac:dyDescent="0.2">
      <c r="E1435" s="70"/>
      <c r="FT1435" s="44"/>
    </row>
    <row r="1436" spans="5:176" x14ac:dyDescent="0.2">
      <c r="E1436" s="70"/>
      <c r="FT1436" s="44"/>
    </row>
    <row r="1437" spans="5:176" x14ac:dyDescent="0.2">
      <c r="E1437" s="70"/>
      <c r="FT1437" s="44"/>
    </row>
    <row r="1438" spans="5:176" x14ac:dyDescent="0.2">
      <c r="E1438" s="70"/>
      <c r="FT1438" s="44"/>
    </row>
    <row r="1439" spans="5:176" x14ac:dyDescent="0.2">
      <c r="E1439" s="70"/>
      <c r="FT1439" s="44"/>
    </row>
    <row r="1440" spans="5:176" x14ac:dyDescent="0.2">
      <c r="E1440" s="70"/>
      <c r="FT1440" s="44"/>
    </row>
    <row r="1441" spans="5:176" x14ac:dyDescent="0.2">
      <c r="E1441" s="70"/>
      <c r="FT1441" s="44"/>
    </row>
    <row r="1442" spans="5:176" x14ac:dyDescent="0.2">
      <c r="E1442" s="70"/>
      <c r="FT1442" s="44"/>
    </row>
    <row r="1443" spans="5:176" x14ac:dyDescent="0.2">
      <c r="E1443" s="70"/>
      <c r="FT1443" s="44"/>
    </row>
    <row r="1444" spans="5:176" x14ac:dyDescent="0.2">
      <c r="E1444" s="70"/>
      <c r="FT1444" s="44"/>
    </row>
    <row r="1445" spans="5:176" x14ac:dyDescent="0.2">
      <c r="E1445" s="70"/>
      <c r="FT1445" s="44"/>
    </row>
    <row r="1446" spans="5:176" x14ac:dyDescent="0.2">
      <c r="E1446" s="70"/>
      <c r="FT1446" s="44"/>
    </row>
    <row r="1447" spans="5:176" x14ac:dyDescent="0.2">
      <c r="E1447" s="70"/>
      <c r="FT1447" s="44"/>
    </row>
    <row r="1448" spans="5:176" x14ac:dyDescent="0.2">
      <c r="E1448" s="70"/>
      <c r="FT1448" s="44"/>
    </row>
    <row r="1449" spans="5:176" x14ac:dyDescent="0.2">
      <c r="E1449" s="70"/>
      <c r="FT1449" s="44"/>
    </row>
    <row r="1450" spans="5:176" x14ac:dyDescent="0.2">
      <c r="E1450" s="70"/>
      <c r="FT1450" s="44"/>
    </row>
    <row r="1451" spans="5:176" x14ac:dyDescent="0.2">
      <c r="E1451" s="70"/>
      <c r="FT1451" s="44"/>
    </row>
    <row r="1452" spans="5:176" x14ac:dyDescent="0.2">
      <c r="E1452" s="70"/>
      <c r="FT1452" s="44"/>
    </row>
    <row r="1453" spans="5:176" x14ac:dyDescent="0.2">
      <c r="E1453" s="70"/>
      <c r="FT1453" s="44"/>
    </row>
    <row r="1454" spans="5:176" x14ac:dyDescent="0.2">
      <c r="E1454" s="70"/>
      <c r="FT1454" s="44"/>
    </row>
    <row r="1455" spans="5:176" x14ac:dyDescent="0.2">
      <c r="E1455" s="70"/>
      <c r="FT1455" s="44"/>
    </row>
    <row r="1456" spans="5:176" x14ac:dyDescent="0.2">
      <c r="E1456" s="70"/>
      <c r="FT1456" s="44"/>
    </row>
    <row r="1457" spans="5:176" x14ac:dyDescent="0.2">
      <c r="E1457" s="70"/>
      <c r="FT1457" s="44"/>
    </row>
    <row r="1458" spans="5:176" x14ac:dyDescent="0.2">
      <c r="E1458" s="70"/>
      <c r="FT1458" s="44"/>
    </row>
    <row r="1459" spans="5:176" x14ac:dyDescent="0.2">
      <c r="E1459" s="70"/>
      <c r="FT1459" s="44"/>
    </row>
    <row r="1460" spans="5:176" x14ac:dyDescent="0.2">
      <c r="E1460" s="70"/>
      <c r="FT1460" s="44"/>
    </row>
    <row r="1461" spans="5:176" x14ac:dyDescent="0.2">
      <c r="E1461" s="70"/>
      <c r="FT1461" s="44"/>
    </row>
    <row r="1462" spans="5:176" x14ac:dyDescent="0.2">
      <c r="E1462" s="70"/>
      <c r="FT1462" s="44"/>
    </row>
    <row r="1463" spans="5:176" x14ac:dyDescent="0.2">
      <c r="E1463" s="70"/>
      <c r="FT1463" s="44"/>
    </row>
    <row r="1464" spans="5:176" x14ac:dyDescent="0.2">
      <c r="E1464" s="70"/>
      <c r="FT1464" s="44"/>
    </row>
    <row r="1465" spans="5:176" x14ac:dyDescent="0.2">
      <c r="E1465" s="70"/>
      <c r="FT1465" s="44"/>
    </row>
    <row r="1466" spans="5:176" x14ac:dyDescent="0.2">
      <c r="E1466" s="70"/>
      <c r="FT1466" s="44"/>
    </row>
    <row r="1467" spans="5:176" x14ac:dyDescent="0.2">
      <c r="E1467" s="70"/>
      <c r="FT1467" s="44"/>
    </row>
    <row r="1468" spans="5:176" x14ac:dyDescent="0.2">
      <c r="E1468" s="70"/>
      <c r="FT1468" s="44"/>
    </row>
    <row r="1469" spans="5:176" x14ac:dyDescent="0.2">
      <c r="E1469" s="70"/>
      <c r="FT1469" s="44"/>
    </row>
    <row r="1470" spans="5:176" x14ac:dyDescent="0.2">
      <c r="E1470" s="70"/>
      <c r="FT1470" s="44"/>
    </row>
    <row r="1471" spans="5:176" x14ac:dyDescent="0.2">
      <c r="E1471" s="70"/>
      <c r="FT1471" s="44"/>
    </row>
    <row r="1472" spans="5:176" x14ac:dyDescent="0.2">
      <c r="E1472" s="70"/>
      <c r="FT1472" s="44"/>
    </row>
    <row r="1473" spans="5:176" x14ac:dyDescent="0.2">
      <c r="E1473" s="70"/>
      <c r="FT1473" s="44"/>
    </row>
    <row r="1474" spans="5:176" x14ac:dyDescent="0.2">
      <c r="E1474" s="70"/>
      <c r="FT1474" s="44"/>
    </row>
    <row r="1475" spans="5:176" x14ac:dyDescent="0.2">
      <c r="E1475" s="70"/>
      <c r="FT1475" s="44"/>
    </row>
    <row r="1476" spans="5:176" x14ac:dyDescent="0.2">
      <c r="E1476" s="70"/>
      <c r="FT1476" s="44"/>
    </row>
    <row r="1477" spans="5:176" x14ac:dyDescent="0.2">
      <c r="E1477" s="70"/>
      <c r="FT1477" s="44"/>
    </row>
    <row r="1478" spans="5:176" x14ac:dyDescent="0.2">
      <c r="E1478" s="70"/>
      <c r="FT1478" s="44"/>
    </row>
    <row r="1479" spans="5:176" x14ac:dyDescent="0.2">
      <c r="E1479" s="70"/>
      <c r="FT1479" s="44"/>
    </row>
    <row r="1480" spans="5:176" x14ac:dyDescent="0.2">
      <c r="E1480" s="70"/>
      <c r="FT1480" s="44"/>
    </row>
    <row r="1481" spans="5:176" x14ac:dyDescent="0.2">
      <c r="E1481" s="70"/>
      <c r="FT1481" s="44"/>
    </row>
    <row r="1482" spans="5:176" x14ac:dyDescent="0.2">
      <c r="E1482" s="70"/>
      <c r="FT1482" s="44"/>
    </row>
    <row r="1483" spans="5:176" x14ac:dyDescent="0.2">
      <c r="E1483" s="70"/>
      <c r="FT1483" s="44"/>
    </row>
    <row r="1484" spans="5:176" x14ac:dyDescent="0.2">
      <c r="E1484" s="70"/>
      <c r="FT1484" s="44"/>
    </row>
    <row r="1485" spans="5:176" x14ac:dyDescent="0.2">
      <c r="E1485" s="70"/>
      <c r="FT1485" s="44"/>
    </row>
    <row r="1486" spans="5:176" x14ac:dyDescent="0.2">
      <c r="E1486" s="70"/>
      <c r="FT1486" s="44"/>
    </row>
    <row r="1487" spans="5:176" x14ac:dyDescent="0.2">
      <c r="E1487" s="70"/>
      <c r="FT1487" s="44"/>
    </row>
    <row r="1488" spans="5:176" x14ac:dyDescent="0.2">
      <c r="E1488" s="70"/>
      <c r="FT1488" s="44"/>
    </row>
    <row r="1489" spans="5:176" x14ac:dyDescent="0.2">
      <c r="E1489" s="70"/>
      <c r="FT1489" s="44"/>
    </row>
    <row r="1490" spans="5:176" x14ac:dyDescent="0.2">
      <c r="E1490" s="70"/>
      <c r="FT1490" s="44"/>
    </row>
    <row r="1491" spans="5:176" x14ac:dyDescent="0.2">
      <c r="E1491" s="70"/>
      <c r="FT1491" s="44"/>
    </row>
    <row r="1492" spans="5:176" x14ac:dyDescent="0.2">
      <c r="E1492" s="70"/>
      <c r="FT1492" s="44"/>
    </row>
    <row r="1493" spans="5:176" x14ac:dyDescent="0.2">
      <c r="E1493" s="70"/>
      <c r="FT1493" s="44"/>
    </row>
    <row r="1494" spans="5:176" x14ac:dyDescent="0.2">
      <c r="E1494" s="70"/>
      <c r="FT1494" s="44"/>
    </row>
    <row r="1495" spans="5:176" x14ac:dyDescent="0.2">
      <c r="E1495" s="70"/>
      <c r="FT1495" s="44"/>
    </row>
    <row r="1496" spans="5:176" x14ac:dyDescent="0.2">
      <c r="E1496" s="70"/>
      <c r="FT1496" s="44"/>
    </row>
    <row r="1497" spans="5:176" x14ac:dyDescent="0.2">
      <c r="E1497" s="70"/>
      <c r="FT1497" s="44"/>
    </row>
    <row r="1498" spans="5:176" x14ac:dyDescent="0.2">
      <c r="E1498" s="70"/>
      <c r="FT1498" s="44"/>
    </row>
    <row r="1499" spans="5:176" x14ac:dyDescent="0.2">
      <c r="E1499" s="70"/>
      <c r="FT1499" s="44"/>
    </row>
    <row r="1500" spans="5:176" x14ac:dyDescent="0.2">
      <c r="E1500" s="70"/>
      <c r="FT1500" s="44"/>
    </row>
    <row r="1501" spans="5:176" x14ac:dyDescent="0.2">
      <c r="E1501" s="70"/>
      <c r="FT1501" s="44"/>
    </row>
    <row r="1502" spans="5:176" x14ac:dyDescent="0.2">
      <c r="E1502" s="70"/>
      <c r="FT1502" s="44"/>
    </row>
    <row r="1503" spans="5:176" x14ac:dyDescent="0.2">
      <c r="E1503" s="70"/>
      <c r="FT1503" s="44"/>
    </row>
    <row r="1504" spans="5:176" x14ac:dyDescent="0.2">
      <c r="E1504" s="70"/>
      <c r="FT1504" s="44"/>
    </row>
    <row r="1505" spans="5:176" x14ac:dyDescent="0.2">
      <c r="E1505" s="70"/>
      <c r="FT1505" s="44"/>
    </row>
    <row r="1506" spans="5:176" x14ac:dyDescent="0.2">
      <c r="E1506" s="70"/>
      <c r="FT1506" s="44"/>
    </row>
    <row r="1507" spans="5:176" x14ac:dyDescent="0.2">
      <c r="E1507" s="70"/>
      <c r="FT1507" s="44"/>
    </row>
    <row r="1508" spans="5:176" x14ac:dyDescent="0.2">
      <c r="E1508" s="70"/>
      <c r="FT1508" s="44"/>
    </row>
    <row r="1509" spans="5:176" x14ac:dyDescent="0.2">
      <c r="E1509" s="70"/>
      <c r="FT1509" s="44"/>
    </row>
    <row r="1510" spans="5:176" x14ac:dyDescent="0.2">
      <c r="E1510" s="70"/>
      <c r="FT1510" s="44"/>
    </row>
    <row r="1511" spans="5:176" x14ac:dyDescent="0.2">
      <c r="E1511" s="70"/>
      <c r="FT1511" s="44"/>
    </row>
    <row r="1512" spans="5:176" x14ac:dyDescent="0.2">
      <c r="E1512" s="70"/>
      <c r="FT1512" s="44"/>
    </row>
    <row r="1513" spans="5:176" x14ac:dyDescent="0.2">
      <c r="E1513" s="70"/>
      <c r="FT1513" s="44"/>
    </row>
    <row r="1514" spans="5:176" x14ac:dyDescent="0.2">
      <c r="E1514" s="70"/>
      <c r="FT1514" s="44"/>
    </row>
    <row r="1515" spans="5:176" x14ac:dyDescent="0.2">
      <c r="E1515" s="70"/>
      <c r="FT1515" s="44"/>
    </row>
    <row r="1516" spans="5:176" x14ac:dyDescent="0.2">
      <c r="E1516" s="70"/>
      <c r="FT1516" s="44"/>
    </row>
    <row r="1517" spans="5:176" x14ac:dyDescent="0.2">
      <c r="E1517" s="70"/>
      <c r="FT1517" s="44"/>
    </row>
    <row r="1518" spans="5:176" x14ac:dyDescent="0.2">
      <c r="E1518" s="70"/>
      <c r="FT1518" s="44"/>
    </row>
    <row r="1519" spans="5:176" x14ac:dyDescent="0.2">
      <c r="E1519" s="70"/>
      <c r="FT1519" s="44"/>
    </row>
    <row r="1520" spans="5:176" x14ac:dyDescent="0.2">
      <c r="E1520" s="70"/>
      <c r="FT1520" s="44"/>
    </row>
    <row r="1521" spans="5:176" x14ac:dyDescent="0.2">
      <c r="E1521" s="70"/>
      <c r="FT1521" s="44"/>
    </row>
    <row r="1522" spans="5:176" x14ac:dyDescent="0.2">
      <c r="E1522" s="70"/>
      <c r="FT1522" s="44"/>
    </row>
    <row r="1523" spans="5:176" x14ac:dyDescent="0.2">
      <c r="E1523" s="70"/>
      <c r="FT1523" s="44"/>
    </row>
    <row r="1524" spans="5:176" x14ac:dyDescent="0.2">
      <c r="E1524" s="70"/>
      <c r="FT1524" s="44"/>
    </row>
    <row r="1525" spans="5:176" x14ac:dyDescent="0.2">
      <c r="E1525" s="70"/>
      <c r="FT1525" s="44"/>
    </row>
    <row r="1526" spans="5:176" x14ac:dyDescent="0.2">
      <c r="E1526" s="70"/>
      <c r="FT1526" s="44"/>
    </row>
    <row r="1527" spans="5:176" x14ac:dyDescent="0.2">
      <c r="E1527" s="70"/>
      <c r="FT1527" s="44"/>
    </row>
    <row r="1528" spans="5:176" x14ac:dyDescent="0.2">
      <c r="E1528" s="70"/>
      <c r="FT1528" s="44"/>
    </row>
    <row r="1529" spans="5:176" x14ac:dyDescent="0.2">
      <c r="E1529" s="70"/>
      <c r="FT1529" s="44"/>
    </row>
    <row r="1530" spans="5:176" x14ac:dyDescent="0.2">
      <c r="E1530" s="70"/>
      <c r="FT1530" s="44"/>
    </row>
    <row r="1531" spans="5:176" x14ac:dyDescent="0.2">
      <c r="E1531" s="70"/>
      <c r="FT1531" s="44"/>
    </row>
    <row r="1532" spans="5:176" x14ac:dyDescent="0.2">
      <c r="E1532" s="70"/>
      <c r="FT1532" s="44"/>
    </row>
    <row r="1533" spans="5:176" x14ac:dyDescent="0.2">
      <c r="E1533" s="70"/>
      <c r="FT1533" s="44"/>
    </row>
    <row r="1534" spans="5:176" x14ac:dyDescent="0.2">
      <c r="E1534" s="70"/>
      <c r="FT1534" s="44"/>
    </row>
    <row r="1535" spans="5:176" x14ac:dyDescent="0.2">
      <c r="E1535" s="70"/>
      <c r="FT1535" s="44"/>
    </row>
    <row r="1536" spans="5:176" x14ac:dyDescent="0.2">
      <c r="E1536" s="70"/>
      <c r="FT1536" s="44"/>
    </row>
    <row r="1537" spans="5:176" x14ac:dyDescent="0.2">
      <c r="E1537" s="70"/>
      <c r="FT1537" s="44"/>
    </row>
    <row r="1538" spans="5:176" x14ac:dyDescent="0.2">
      <c r="E1538" s="70"/>
      <c r="FT1538" s="44"/>
    </row>
    <row r="1539" spans="5:176" x14ac:dyDescent="0.2">
      <c r="E1539" s="70"/>
      <c r="FT1539" s="44"/>
    </row>
    <row r="1540" spans="5:176" x14ac:dyDescent="0.2">
      <c r="E1540" s="70"/>
      <c r="FT1540" s="44"/>
    </row>
    <row r="1541" spans="5:176" x14ac:dyDescent="0.2">
      <c r="E1541" s="70"/>
      <c r="FT1541" s="44"/>
    </row>
    <row r="1542" spans="5:176" x14ac:dyDescent="0.2">
      <c r="E1542" s="70"/>
      <c r="FT1542" s="44"/>
    </row>
    <row r="1543" spans="5:176" x14ac:dyDescent="0.2">
      <c r="E1543" s="70"/>
      <c r="FT1543" s="44"/>
    </row>
    <row r="1544" spans="5:176" x14ac:dyDescent="0.2">
      <c r="E1544" s="70"/>
      <c r="FT1544" s="44"/>
    </row>
    <row r="1545" spans="5:176" x14ac:dyDescent="0.2">
      <c r="E1545" s="70"/>
      <c r="FT1545" s="44"/>
    </row>
    <row r="1546" spans="5:176" x14ac:dyDescent="0.2">
      <c r="E1546" s="70"/>
      <c r="FT1546" s="44"/>
    </row>
    <row r="1547" spans="5:176" x14ac:dyDescent="0.2">
      <c r="E1547" s="70"/>
      <c r="FT1547" s="44"/>
    </row>
    <row r="1548" spans="5:176" x14ac:dyDescent="0.2">
      <c r="E1548" s="70"/>
      <c r="FT1548" s="44"/>
    </row>
    <row r="1549" spans="5:176" x14ac:dyDescent="0.2">
      <c r="E1549" s="70"/>
      <c r="FT1549" s="44"/>
    </row>
    <row r="1550" spans="5:176" x14ac:dyDescent="0.2">
      <c r="E1550" s="70"/>
      <c r="FT1550" s="44"/>
    </row>
    <row r="1551" spans="5:176" x14ac:dyDescent="0.2">
      <c r="E1551" s="70"/>
      <c r="FT1551" s="44"/>
    </row>
    <row r="1552" spans="5:176" x14ac:dyDescent="0.2">
      <c r="E1552" s="70"/>
      <c r="FT1552" s="44"/>
    </row>
    <row r="1553" spans="5:176" x14ac:dyDescent="0.2">
      <c r="E1553" s="70"/>
      <c r="FT1553" s="44"/>
    </row>
    <row r="1554" spans="5:176" x14ac:dyDescent="0.2">
      <c r="E1554" s="70"/>
      <c r="FT1554" s="44"/>
    </row>
    <row r="1555" spans="5:176" x14ac:dyDescent="0.2">
      <c r="E1555" s="70"/>
      <c r="FT1555" s="44"/>
    </row>
    <row r="1556" spans="5:176" x14ac:dyDescent="0.2">
      <c r="E1556" s="70"/>
      <c r="FT1556" s="44"/>
    </row>
    <row r="1557" spans="5:176" x14ac:dyDescent="0.2">
      <c r="E1557" s="70"/>
      <c r="FT1557" s="44"/>
    </row>
    <row r="1558" spans="5:176" x14ac:dyDescent="0.2">
      <c r="E1558" s="70"/>
      <c r="FT1558" s="44"/>
    </row>
    <row r="1559" spans="5:176" x14ac:dyDescent="0.2">
      <c r="E1559" s="70"/>
      <c r="FT1559" s="44"/>
    </row>
    <row r="1560" spans="5:176" x14ac:dyDescent="0.2">
      <c r="E1560" s="70"/>
      <c r="FT1560" s="44"/>
    </row>
    <row r="1561" spans="5:176" x14ac:dyDescent="0.2">
      <c r="E1561" s="70"/>
      <c r="FT1561" s="44"/>
    </row>
    <row r="1562" spans="5:176" x14ac:dyDescent="0.2">
      <c r="E1562" s="70"/>
      <c r="FT1562" s="44"/>
    </row>
    <row r="1563" spans="5:176" x14ac:dyDescent="0.2">
      <c r="E1563" s="70"/>
      <c r="FT1563" s="44"/>
    </row>
    <row r="1564" spans="5:176" x14ac:dyDescent="0.2">
      <c r="E1564" s="70"/>
      <c r="FT1564" s="44"/>
    </row>
    <row r="1565" spans="5:176" x14ac:dyDescent="0.2">
      <c r="E1565" s="70"/>
      <c r="FT1565" s="44"/>
    </row>
    <row r="1566" spans="5:176" x14ac:dyDescent="0.2">
      <c r="E1566" s="70"/>
      <c r="FT1566" s="44"/>
    </row>
    <row r="1567" spans="5:176" x14ac:dyDescent="0.2">
      <c r="E1567" s="70"/>
      <c r="FT1567" s="44"/>
    </row>
    <row r="1568" spans="5:176" x14ac:dyDescent="0.2">
      <c r="E1568" s="70"/>
      <c r="FT1568" s="44"/>
    </row>
    <row r="1569" spans="5:176" x14ac:dyDescent="0.2">
      <c r="E1569" s="70"/>
      <c r="FT1569" s="44"/>
    </row>
    <row r="1570" spans="5:176" x14ac:dyDescent="0.2">
      <c r="E1570" s="70"/>
      <c r="FT1570" s="44"/>
    </row>
    <row r="1571" spans="5:176" x14ac:dyDescent="0.2">
      <c r="E1571" s="70"/>
      <c r="FT1571" s="44"/>
    </row>
    <row r="1572" spans="5:176" x14ac:dyDescent="0.2">
      <c r="E1572" s="70"/>
      <c r="FT1572" s="44"/>
    </row>
    <row r="1573" spans="5:176" x14ac:dyDescent="0.2">
      <c r="E1573" s="70"/>
      <c r="FT1573" s="44"/>
    </row>
    <row r="1574" spans="5:176" x14ac:dyDescent="0.2">
      <c r="E1574" s="70"/>
      <c r="FT1574" s="44"/>
    </row>
    <row r="1575" spans="5:176" x14ac:dyDescent="0.2">
      <c r="E1575" s="70"/>
      <c r="FT1575" s="44"/>
    </row>
    <row r="1576" spans="5:176" x14ac:dyDescent="0.2">
      <c r="E1576" s="70"/>
      <c r="FT1576" s="44"/>
    </row>
    <row r="1577" spans="5:176" x14ac:dyDescent="0.2">
      <c r="E1577" s="70"/>
      <c r="FT1577" s="44"/>
    </row>
    <row r="1578" spans="5:176" x14ac:dyDescent="0.2">
      <c r="E1578" s="70"/>
      <c r="FT1578" s="44"/>
    </row>
    <row r="1579" spans="5:176" x14ac:dyDescent="0.2">
      <c r="E1579" s="70"/>
      <c r="FT1579" s="44"/>
    </row>
    <row r="1580" spans="5:176" x14ac:dyDescent="0.2">
      <c r="E1580" s="70"/>
      <c r="FT1580" s="44"/>
    </row>
    <row r="1581" spans="5:176" x14ac:dyDescent="0.2">
      <c r="E1581" s="70"/>
      <c r="FT1581" s="44"/>
    </row>
    <row r="1582" spans="5:176" x14ac:dyDescent="0.2">
      <c r="E1582" s="70"/>
      <c r="FT1582" s="44"/>
    </row>
    <row r="1583" spans="5:176" x14ac:dyDescent="0.2">
      <c r="E1583" s="70"/>
      <c r="FT1583" s="44"/>
    </row>
    <row r="1584" spans="5:176" x14ac:dyDescent="0.2">
      <c r="E1584" s="70"/>
      <c r="FT1584" s="44"/>
    </row>
    <row r="1585" spans="5:176" x14ac:dyDescent="0.2">
      <c r="E1585" s="70"/>
      <c r="FT1585" s="44"/>
    </row>
    <row r="1586" spans="5:176" x14ac:dyDescent="0.2">
      <c r="E1586" s="70"/>
      <c r="FT1586" s="44"/>
    </row>
    <row r="1587" spans="5:176" x14ac:dyDescent="0.2">
      <c r="E1587" s="70"/>
      <c r="FT1587" s="44"/>
    </row>
    <row r="1588" spans="5:176" x14ac:dyDescent="0.2">
      <c r="E1588" s="70"/>
      <c r="FT1588" s="44"/>
    </row>
    <row r="1589" spans="5:176" x14ac:dyDescent="0.2">
      <c r="E1589" s="70"/>
      <c r="FT1589" s="44"/>
    </row>
    <row r="1590" spans="5:176" x14ac:dyDescent="0.2">
      <c r="E1590" s="70"/>
      <c r="FT1590" s="44"/>
    </row>
    <row r="1591" spans="5:176" x14ac:dyDescent="0.2">
      <c r="E1591" s="70"/>
      <c r="FT1591" s="44"/>
    </row>
    <row r="1592" spans="5:176" x14ac:dyDescent="0.2">
      <c r="E1592" s="70"/>
      <c r="FT1592" s="44"/>
    </row>
    <row r="1593" spans="5:176" x14ac:dyDescent="0.2">
      <c r="E1593" s="70"/>
      <c r="FT1593" s="44"/>
    </row>
    <row r="1594" spans="5:176" x14ac:dyDescent="0.2">
      <c r="E1594" s="70"/>
      <c r="FT1594" s="44"/>
    </row>
    <row r="1595" spans="5:176" x14ac:dyDescent="0.2">
      <c r="E1595" s="70"/>
      <c r="FT1595" s="44"/>
    </row>
    <row r="1596" spans="5:176" x14ac:dyDescent="0.2">
      <c r="E1596" s="70"/>
      <c r="FT1596" s="44"/>
    </row>
    <row r="1597" spans="5:176" x14ac:dyDescent="0.2">
      <c r="E1597" s="70"/>
      <c r="FT1597" s="44"/>
    </row>
    <row r="1598" spans="5:176" x14ac:dyDescent="0.2">
      <c r="E1598" s="70"/>
      <c r="FT1598" s="44"/>
    </row>
    <row r="1599" spans="5:176" x14ac:dyDescent="0.2">
      <c r="E1599" s="70"/>
      <c r="FT1599" s="44"/>
    </row>
    <row r="1600" spans="5:176" x14ac:dyDescent="0.2">
      <c r="E1600" s="70"/>
      <c r="FT1600" s="44"/>
    </row>
    <row r="1601" spans="5:176" x14ac:dyDescent="0.2">
      <c r="E1601" s="70"/>
      <c r="FT1601" s="44"/>
    </row>
    <row r="1602" spans="5:176" x14ac:dyDescent="0.2">
      <c r="E1602" s="70"/>
      <c r="FT1602" s="44"/>
    </row>
    <row r="1603" spans="5:176" x14ac:dyDescent="0.2">
      <c r="E1603" s="70"/>
      <c r="FT1603" s="44"/>
    </row>
    <row r="1604" spans="5:176" x14ac:dyDescent="0.2">
      <c r="E1604" s="70"/>
      <c r="FT1604" s="44"/>
    </row>
    <row r="1605" spans="5:176" x14ac:dyDescent="0.2">
      <c r="E1605" s="70"/>
      <c r="FT1605" s="44"/>
    </row>
    <row r="1606" spans="5:176" x14ac:dyDescent="0.2">
      <c r="E1606" s="70"/>
      <c r="FT1606" s="44"/>
    </row>
    <row r="1607" spans="5:176" x14ac:dyDescent="0.2">
      <c r="E1607" s="70"/>
      <c r="FT1607" s="44"/>
    </row>
    <row r="1608" spans="5:176" x14ac:dyDescent="0.2">
      <c r="E1608" s="70"/>
      <c r="FT1608" s="44"/>
    </row>
    <row r="1609" spans="5:176" x14ac:dyDescent="0.2">
      <c r="E1609" s="70"/>
      <c r="FT1609" s="44"/>
    </row>
    <row r="1610" spans="5:176" x14ac:dyDescent="0.2">
      <c r="E1610" s="70"/>
      <c r="FT1610" s="44"/>
    </row>
    <row r="1611" spans="5:176" x14ac:dyDescent="0.2">
      <c r="E1611" s="70"/>
      <c r="FT1611" s="44"/>
    </row>
    <row r="1612" spans="5:176" x14ac:dyDescent="0.2">
      <c r="E1612" s="70"/>
      <c r="FT1612" s="44"/>
    </row>
    <row r="1613" spans="5:176" x14ac:dyDescent="0.2">
      <c r="E1613" s="70"/>
      <c r="FT1613" s="44"/>
    </row>
    <row r="1614" spans="5:176" x14ac:dyDescent="0.2">
      <c r="E1614" s="70"/>
      <c r="FT1614" s="44"/>
    </row>
    <row r="1615" spans="5:176" x14ac:dyDescent="0.2">
      <c r="E1615" s="70"/>
      <c r="FT1615" s="44"/>
    </row>
    <row r="1616" spans="5:176" x14ac:dyDescent="0.2">
      <c r="E1616" s="70"/>
      <c r="FT1616" s="44"/>
    </row>
    <row r="1617" spans="5:176" x14ac:dyDescent="0.2">
      <c r="E1617" s="70"/>
      <c r="FT1617" s="44"/>
    </row>
    <row r="1618" spans="5:176" x14ac:dyDescent="0.2">
      <c r="E1618" s="70"/>
      <c r="FT1618" s="44"/>
    </row>
    <row r="1619" spans="5:176" x14ac:dyDescent="0.2">
      <c r="E1619" s="70"/>
      <c r="FT1619" s="44"/>
    </row>
    <row r="1620" spans="5:176" x14ac:dyDescent="0.2">
      <c r="E1620" s="70"/>
      <c r="FT1620" s="44"/>
    </row>
    <row r="1621" spans="5:176" x14ac:dyDescent="0.2">
      <c r="E1621" s="70"/>
      <c r="FT1621" s="44"/>
    </row>
    <row r="1622" spans="5:176" x14ac:dyDescent="0.2">
      <c r="E1622" s="70"/>
      <c r="FT1622" s="44"/>
    </row>
    <row r="1623" spans="5:176" x14ac:dyDescent="0.2">
      <c r="E1623" s="70"/>
      <c r="FT1623" s="44"/>
    </row>
    <row r="1624" spans="5:176" x14ac:dyDescent="0.2">
      <c r="E1624" s="70"/>
      <c r="FT1624" s="44"/>
    </row>
    <row r="1625" spans="5:176" x14ac:dyDescent="0.2">
      <c r="E1625" s="70"/>
      <c r="FT1625" s="44"/>
    </row>
    <row r="1626" spans="5:176" x14ac:dyDescent="0.2">
      <c r="E1626" s="70"/>
      <c r="FT1626" s="44"/>
    </row>
    <row r="1627" spans="5:176" x14ac:dyDescent="0.2">
      <c r="E1627" s="70"/>
      <c r="FT1627" s="44"/>
    </row>
    <row r="1628" spans="5:176" x14ac:dyDescent="0.2">
      <c r="E1628" s="70"/>
      <c r="FT1628" s="44"/>
    </row>
    <row r="1629" spans="5:176" x14ac:dyDescent="0.2">
      <c r="E1629" s="70"/>
      <c r="FT1629" s="44"/>
    </row>
    <row r="1630" spans="5:176" x14ac:dyDescent="0.2">
      <c r="E1630" s="70"/>
      <c r="FT1630" s="44"/>
    </row>
    <row r="1631" spans="5:176" x14ac:dyDescent="0.2">
      <c r="E1631" s="70"/>
      <c r="FT1631" s="44"/>
    </row>
    <row r="1632" spans="5:176" x14ac:dyDescent="0.2">
      <c r="E1632" s="70"/>
      <c r="FT1632" s="44"/>
    </row>
    <row r="1633" spans="5:176" x14ac:dyDescent="0.2">
      <c r="E1633" s="70"/>
      <c r="FT1633" s="44"/>
    </row>
    <row r="1634" spans="5:176" x14ac:dyDescent="0.2">
      <c r="E1634" s="70"/>
      <c r="FT1634" s="44"/>
    </row>
    <row r="1635" spans="5:176" x14ac:dyDescent="0.2">
      <c r="E1635" s="70"/>
      <c r="FT1635" s="44"/>
    </row>
    <row r="1636" spans="5:176" x14ac:dyDescent="0.2">
      <c r="E1636" s="70"/>
      <c r="FT1636" s="44"/>
    </row>
    <row r="1637" spans="5:176" x14ac:dyDescent="0.2">
      <c r="E1637" s="70"/>
      <c r="FT1637" s="44"/>
    </row>
    <row r="1638" spans="5:176" x14ac:dyDescent="0.2">
      <c r="E1638" s="70"/>
      <c r="FT1638" s="44"/>
    </row>
    <row r="1639" spans="5:176" x14ac:dyDescent="0.2">
      <c r="E1639" s="70"/>
      <c r="FT1639" s="44"/>
    </row>
    <row r="1640" spans="5:176" x14ac:dyDescent="0.2">
      <c r="E1640" s="70"/>
      <c r="FT1640" s="44"/>
    </row>
    <row r="1641" spans="5:176" x14ac:dyDescent="0.2">
      <c r="E1641" s="70"/>
      <c r="FT1641" s="44"/>
    </row>
    <row r="1642" spans="5:176" x14ac:dyDescent="0.2">
      <c r="E1642" s="70"/>
      <c r="FT1642" s="44"/>
    </row>
    <row r="1643" spans="5:176" x14ac:dyDescent="0.2">
      <c r="E1643" s="70"/>
      <c r="FT1643" s="44"/>
    </row>
    <row r="1644" spans="5:176" x14ac:dyDescent="0.2">
      <c r="E1644" s="70"/>
      <c r="FT1644" s="44"/>
    </row>
    <row r="1645" spans="5:176" x14ac:dyDescent="0.2">
      <c r="E1645" s="70"/>
      <c r="FT1645" s="44"/>
    </row>
    <row r="1646" spans="5:176" x14ac:dyDescent="0.2">
      <c r="E1646" s="70"/>
      <c r="FT1646" s="44"/>
    </row>
    <row r="1647" spans="5:176" x14ac:dyDescent="0.2">
      <c r="E1647" s="70"/>
      <c r="FT1647" s="44"/>
    </row>
    <row r="1648" spans="5:176" x14ac:dyDescent="0.2">
      <c r="E1648" s="70"/>
      <c r="FT1648" s="44"/>
    </row>
    <row r="1649" spans="5:176" x14ac:dyDescent="0.2">
      <c r="E1649" s="70"/>
      <c r="FT1649" s="44"/>
    </row>
    <row r="1650" spans="5:176" x14ac:dyDescent="0.2">
      <c r="E1650" s="70"/>
      <c r="FT1650" s="44"/>
    </row>
    <row r="1651" spans="5:176" x14ac:dyDescent="0.2">
      <c r="E1651" s="70"/>
      <c r="FT1651" s="44"/>
    </row>
    <row r="1652" spans="5:176" x14ac:dyDescent="0.2">
      <c r="E1652" s="70"/>
      <c r="FT1652" s="44"/>
    </row>
    <row r="1653" spans="5:176" x14ac:dyDescent="0.2">
      <c r="E1653" s="70"/>
      <c r="FT1653" s="44"/>
    </row>
    <row r="1654" spans="5:176" x14ac:dyDescent="0.2">
      <c r="E1654" s="70"/>
      <c r="FT1654" s="44"/>
    </row>
    <row r="1655" spans="5:176" x14ac:dyDescent="0.2">
      <c r="E1655" s="70"/>
      <c r="FT1655" s="44"/>
    </row>
    <row r="1656" spans="5:176" x14ac:dyDescent="0.2">
      <c r="E1656" s="70"/>
      <c r="FT1656" s="44"/>
    </row>
    <row r="1657" spans="5:176" x14ac:dyDescent="0.2">
      <c r="E1657" s="70"/>
      <c r="FT1657" s="44"/>
    </row>
    <row r="1658" spans="5:176" x14ac:dyDescent="0.2">
      <c r="E1658" s="70"/>
      <c r="FT1658" s="44"/>
    </row>
    <row r="1659" spans="5:176" x14ac:dyDescent="0.2">
      <c r="E1659" s="70"/>
      <c r="FT1659" s="44"/>
    </row>
    <row r="1660" spans="5:176" x14ac:dyDescent="0.2">
      <c r="E1660" s="70"/>
      <c r="FT1660" s="44"/>
    </row>
    <row r="1661" spans="5:176" x14ac:dyDescent="0.2">
      <c r="E1661" s="70"/>
      <c r="FT1661" s="44"/>
    </row>
    <row r="1662" spans="5:176" x14ac:dyDescent="0.2">
      <c r="E1662" s="70"/>
      <c r="FT1662" s="44"/>
    </row>
    <row r="1663" spans="5:176" x14ac:dyDescent="0.2">
      <c r="E1663" s="70"/>
      <c r="FT1663" s="44"/>
    </row>
    <row r="1664" spans="5:176" x14ac:dyDescent="0.2">
      <c r="E1664" s="70"/>
      <c r="FT1664" s="44"/>
    </row>
    <row r="1665" spans="5:176" x14ac:dyDescent="0.2">
      <c r="E1665" s="70"/>
      <c r="FT1665" s="44"/>
    </row>
    <row r="1666" spans="5:176" x14ac:dyDescent="0.2">
      <c r="E1666" s="70"/>
      <c r="FT1666" s="44"/>
    </row>
    <row r="1667" spans="5:176" x14ac:dyDescent="0.2">
      <c r="E1667" s="70"/>
      <c r="FT1667" s="44"/>
    </row>
    <row r="1668" spans="5:176" x14ac:dyDescent="0.2">
      <c r="E1668" s="70"/>
      <c r="FT1668" s="44"/>
    </row>
    <row r="1669" spans="5:176" x14ac:dyDescent="0.2">
      <c r="E1669" s="70"/>
      <c r="FT1669" s="44"/>
    </row>
    <row r="1670" spans="5:176" x14ac:dyDescent="0.2">
      <c r="E1670" s="70"/>
      <c r="FT1670" s="44"/>
    </row>
    <row r="1671" spans="5:176" x14ac:dyDescent="0.2">
      <c r="E1671" s="70"/>
      <c r="FT1671" s="44"/>
    </row>
    <row r="1672" spans="5:176" x14ac:dyDescent="0.2">
      <c r="E1672" s="70"/>
      <c r="FT1672" s="44"/>
    </row>
    <row r="1673" spans="5:176" x14ac:dyDescent="0.2">
      <c r="E1673" s="70"/>
      <c r="FT1673" s="44"/>
    </row>
    <row r="1674" spans="5:176" x14ac:dyDescent="0.2">
      <c r="E1674" s="70"/>
      <c r="FT1674" s="44"/>
    </row>
    <row r="1675" spans="5:176" x14ac:dyDescent="0.2">
      <c r="E1675" s="70"/>
      <c r="FT1675" s="44"/>
    </row>
    <row r="1676" spans="5:176" x14ac:dyDescent="0.2">
      <c r="E1676" s="70"/>
      <c r="FT1676" s="44"/>
    </row>
    <row r="1677" spans="5:176" x14ac:dyDescent="0.2">
      <c r="E1677" s="70"/>
      <c r="FT1677" s="44"/>
    </row>
    <row r="1678" spans="5:176" x14ac:dyDescent="0.2">
      <c r="E1678" s="70"/>
      <c r="FT1678" s="44"/>
    </row>
    <row r="1679" spans="5:176" x14ac:dyDescent="0.2">
      <c r="E1679" s="70"/>
      <c r="FT1679" s="44"/>
    </row>
    <row r="1680" spans="5:176" x14ac:dyDescent="0.2">
      <c r="E1680" s="70"/>
      <c r="FT1680" s="44"/>
    </row>
    <row r="1681" spans="5:176" x14ac:dyDescent="0.2">
      <c r="E1681" s="70"/>
      <c r="FT1681" s="44"/>
    </row>
    <row r="1682" spans="5:176" x14ac:dyDescent="0.2">
      <c r="E1682" s="70"/>
      <c r="FT1682" s="44"/>
    </row>
    <row r="1683" spans="5:176" x14ac:dyDescent="0.2">
      <c r="E1683" s="70"/>
      <c r="FT1683" s="44"/>
    </row>
    <row r="1684" spans="5:176" x14ac:dyDescent="0.2">
      <c r="E1684" s="70"/>
      <c r="FT1684" s="44"/>
    </row>
    <row r="1685" spans="5:176" x14ac:dyDescent="0.2">
      <c r="E1685" s="70"/>
      <c r="FT1685" s="44"/>
    </row>
    <row r="1686" spans="5:176" x14ac:dyDescent="0.2">
      <c r="E1686" s="70"/>
      <c r="FT1686" s="44"/>
    </row>
    <row r="1687" spans="5:176" x14ac:dyDescent="0.2">
      <c r="E1687" s="70"/>
      <c r="FT1687" s="44"/>
    </row>
    <row r="1688" spans="5:176" x14ac:dyDescent="0.2">
      <c r="E1688" s="70"/>
      <c r="FT1688" s="44"/>
    </row>
    <row r="1689" spans="5:176" x14ac:dyDescent="0.2">
      <c r="E1689" s="70"/>
      <c r="FT1689" s="44"/>
    </row>
    <row r="1690" spans="5:176" x14ac:dyDescent="0.2">
      <c r="E1690" s="70"/>
      <c r="FT1690" s="44"/>
    </row>
    <row r="1691" spans="5:176" x14ac:dyDescent="0.2">
      <c r="E1691" s="70"/>
      <c r="FT1691" s="44"/>
    </row>
    <row r="1692" spans="5:176" x14ac:dyDescent="0.2">
      <c r="E1692" s="70"/>
      <c r="FT1692" s="44"/>
    </row>
    <row r="1693" spans="5:176" x14ac:dyDescent="0.2">
      <c r="E1693" s="70"/>
      <c r="FT1693" s="44"/>
    </row>
    <row r="1694" spans="5:176" x14ac:dyDescent="0.2">
      <c r="E1694" s="70"/>
      <c r="FT1694" s="44"/>
    </row>
    <row r="1695" spans="5:176" x14ac:dyDescent="0.2">
      <c r="E1695" s="70"/>
      <c r="FT1695" s="44"/>
    </row>
    <row r="1696" spans="5:176" x14ac:dyDescent="0.2">
      <c r="E1696" s="70"/>
      <c r="FT1696" s="44"/>
    </row>
    <row r="1697" spans="5:176" x14ac:dyDescent="0.2">
      <c r="E1697" s="70"/>
      <c r="FT1697" s="44"/>
    </row>
    <row r="1698" spans="5:176" x14ac:dyDescent="0.2">
      <c r="E1698" s="70"/>
      <c r="FT1698" s="44"/>
    </row>
    <row r="1699" spans="5:176" x14ac:dyDescent="0.2">
      <c r="E1699" s="70"/>
      <c r="FT1699" s="44"/>
    </row>
    <row r="1700" spans="5:176" x14ac:dyDescent="0.2">
      <c r="E1700" s="70"/>
      <c r="FT1700" s="44"/>
    </row>
    <row r="1701" spans="5:176" x14ac:dyDescent="0.2">
      <c r="E1701" s="70"/>
      <c r="FT1701" s="44"/>
    </row>
    <row r="1702" spans="5:176" x14ac:dyDescent="0.2">
      <c r="E1702" s="70"/>
      <c r="FT1702" s="44"/>
    </row>
    <row r="1703" spans="5:176" x14ac:dyDescent="0.2">
      <c r="E1703" s="70"/>
      <c r="FT1703" s="44"/>
    </row>
    <row r="1704" spans="5:176" x14ac:dyDescent="0.2">
      <c r="E1704" s="70"/>
      <c r="FT1704" s="44"/>
    </row>
    <row r="1705" spans="5:176" x14ac:dyDescent="0.2">
      <c r="E1705" s="70"/>
      <c r="FT1705" s="44"/>
    </row>
    <row r="1706" spans="5:176" x14ac:dyDescent="0.2">
      <c r="E1706" s="70"/>
      <c r="FT1706" s="44"/>
    </row>
    <row r="1707" spans="5:176" x14ac:dyDescent="0.2">
      <c r="E1707" s="70"/>
      <c r="FT1707" s="44"/>
    </row>
    <row r="1708" spans="5:176" x14ac:dyDescent="0.2">
      <c r="E1708" s="70"/>
      <c r="FT1708" s="44"/>
    </row>
    <row r="1709" spans="5:176" x14ac:dyDescent="0.2">
      <c r="E1709" s="70"/>
      <c r="FT1709" s="44"/>
    </row>
    <row r="1710" spans="5:176" x14ac:dyDescent="0.2">
      <c r="E1710" s="70"/>
      <c r="FT1710" s="44"/>
    </row>
    <row r="1711" spans="5:176" x14ac:dyDescent="0.2">
      <c r="E1711" s="70"/>
      <c r="FT1711" s="44"/>
    </row>
    <row r="1712" spans="5:176" x14ac:dyDescent="0.2">
      <c r="E1712" s="70"/>
      <c r="FT1712" s="44"/>
    </row>
    <row r="1713" spans="5:176" x14ac:dyDescent="0.2">
      <c r="E1713" s="70"/>
      <c r="FT1713" s="44"/>
    </row>
    <row r="1714" spans="5:176" x14ac:dyDescent="0.2">
      <c r="E1714" s="70"/>
      <c r="FT1714" s="44"/>
    </row>
    <row r="1715" spans="5:176" x14ac:dyDescent="0.2">
      <c r="E1715" s="70"/>
      <c r="FT1715" s="44"/>
    </row>
    <row r="1716" spans="5:176" x14ac:dyDescent="0.2">
      <c r="E1716" s="70"/>
      <c r="FT1716" s="44"/>
    </row>
    <row r="1717" spans="5:176" x14ac:dyDescent="0.2">
      <c r="E1717" s="70"/>
      <c r="FT1717" s="44"/>
    </row>
    <row r="1718" spans="5:176" x14ac:dyDescent="0.2">
      <c r="E1718" s="70"/>
      <c r="FT1718" s="44"/>
    </row>
    <row r="1719" spans="5:176" x14ac:dyDescent="0.2">
      <c r="E1719" s="70"/>
      <c r="FT1719" s="44"/>
    </row>
    <row r="1720" spans="5:176" x14ac:dyDescent="0.2">
      <c r="E1720" s="70"/>
      <c r="FT1720" s="44"/>
    </row>
    <row r="1721" spans="5:176" x14ac:dyDescent="0.2">
      <c r="E1721" s="70"/>
      <c r="FT1721" s="44"/>
    </row>
    <row r="1722" spans="5:176" x14ac:dyDescent="0.2">
      <c r="E1722" s="70"/>
      <c r="FT1722" s="44"/>
    </row>
    <row r="1723" spans="5:176" x14ac:dyDescent="0.2">
      <c r="E1723" s="70"/>
      <c r="FT1723" s="44"/>
    </row>
    <row r="1724" spans="5:176" x14ac:dyDescent="0.2">
      <c r="E1724" s="70"/>
      <c r="FT1724" s="44"/>
    </row>
    <row r="1725" spans="5:176" x14ac:dyDescent="0.2">
      <c r="E1725" s="70"/>
      <c r="FT1725" s="44"/>
    </row>
    <row r="1726" spans="5:176" x14ac:dyDescent="0.2">
      <c r="E1726" s="70"/>
      <c r="FT1726" s="44"/>
    </row>
    <row r="1727" spans="5:176" x14ac:dyDescent="0.2">
      <c r="E1727" s="70"/>
      <c r="FT1727" s="44"/>
    </row>
    <row r="1728" spans="5:176" x14ac:dyDescent="0.2">
      <c r="E1728" s="70"/>
      <c r="FT1728" s="44"/>
    </row>
    <row r="1729" spans="5:176" x14ac:dyDescent="0.2">
      <c r="E1729" s="70"/>
      <c r="FT1729" s="44"/>
    </row>
    <row r="1730" spans="5:176" x14ac:dyDescent="0.2">
      <c r="E1730" s="70"/>
      <c r="FT1730" s="44"/>
    </row>
    <row r="1731" spans="5:176" x14ac:dyDescent="0.2">
      <c r="E1731" s="70"/>
      <c r="FT1731" s="44"/>
    </row>
    <row r="1732" spans="5:176" x14ac:dyDescent="0.2">
      <c r="E1732" s="70"/>
      <c r="FT1732" s="44"/>
    </row>
    <row r="1733" spans="5:176" x14ac:dyDescent="0.2">
      <c r="E1733" s="70"/>
      <c r="FT1733" s="44"/>
    </row>
    <row r="1734" spans="5:176" x14ac:dyDescent="0.2">
      <c r="E1734" s="70"/>
      <c r="FT1734" s="44"/>
    </row>
    <row r="1735" spans="5:176" x14ac:dyDescent="0.2">
      <c r="E1735" s="70"/>
      <c r="FT1735" s="44"/>
    </row>
    <row r="1736" spans="5:176" x14ac:dyDescent="0.2">
      <c r="E1736" s="70"/>
      <c r="FT1736" s="44"/>
    </row>
    <row r="1737" spans="5:176" x14ac:dyDescent="0.2">
      <c r="E1737" s="70"/>
      <c r="FT1737" s="44"/>
    </row>
    <row r="1738" spans="5:176" x14ac:dyDescent="0.2">
      <c r="E1738" s="70"/>
      <c r="FT1738" s="44"/>
    </row>
    <row r="1739" spans="5:176" x14ac:dyDescent="0.2">
      <c r="E1739" s="70"/>
      <c r="FT1739" s="44"/>
    </row>
    <row r="1740" spans="5:176" x14ac:dyDescent="0.2">
      <c r="E1740" s="70"/>
      <c r="FT1740" s="44"/>
    </row>
    <row r="1741" spans="5:176" x14ac:dyDescent="0.2">
      <c r="E1741" s="70"/>
      <c r="FT1741" s="44"/>
    </row>
    <row r="1742" spans="5:176" x14ac:dyDescent="0.2">
      <c r="E1742" s="70"/>
      <c r="FT1742" s="44"/>
    </row>
    <row r="1743" spans="5:176" x14ac:dyDescent="0.2">
      <c r="E1743" s="70"/>
      <c r="FT1743" s="44"/>
    </row>
    <row r="1744" spans="5:176" x14ac:dyDescent="0.2">
      <c r="E1744" s="70"/>
      <c r="FT1744" s="44"/>
    </row>
    <row r="1745" spans="5:176" x14ac:dyDescent="0.2">
      <c r="E1745" s="70"/>
      <c r="FT1745" s="44"/>
    </row>
    <row r="1746" spans="5:176" x14ac:dyDescent="0.2">
      <c r="E1746" s="70"/>
      <c r="FT1746" s="44"/>
    </row>
    <row r="1747" spans="5:176" x14ac:dyDescent="0.2">
      <c r="E1747" s="70"/>
      <c r="FT1747" s="44"/>
    </row>
    <row r="1748" spans="5:176" x14ac:dyDescent="0.2">
      <c r="E1748" s="70"/>
      <c r="FT1748" s="44"/>
    </row>
    <row r="1749" spans="5:176" x14ac:dyDescent="0.2">
      <c r="E1749" s="70"/>
      <c r="FT1749" s="44"/>
    </row>
    <row r="1750" spans="5:176" x14ac:dyDescent="0.2">
      <c r="E1750" s="70"/>
      <c r="FT1750" s="44"/>
    </row>
    <row r="1751" spans="5:176" x14ac:dyDescent="0.2">
      <c r="E1751" s="70"/>
      <c r="FT1751" s="44"/>
    </row>
    <row r="1752" spans="5:176" x14ac:dyDescent="0.2">
      <c r="E1752" s="70"/>
      <c r="FT1752" s="44"/>
    </row>
    <row r="1753" spans="5:176" x14ac:dyDescent="0.2">
      <c r="E1753" s="70"/>
      <c r="FT1753" s="44"/>
    </row>
    <row r="1754" spans="5:176" x14ac:dyDescent="0.2">
      <c r="E1754" s="70"/>
      <c r="FT1754" s="44"/>
    </row>
    <row r="1755" spans="5:176" x14ac:dyDescent="0.2">
      <c r="E1755" s="70"/>
      <c r="FT1755" s="44"/>
    </row>
    <row r="1756" spans="5:176" x14ac:dyDescent="0.2">
      <c r="E1756" s="70"/>
      <c r="FT1756" s="44"/>
    </row>
    <row r="1757" spans="5:176" x14ac:dyDescent="0.2">
      <c r="E1757" s="70"/>
      <c r="FT1757" s="44"/>
    </row>
    <row r="1758" spans="5:176" x14ac:dyDescent="0.2">
      <c r="E1758" s="70"/>
      <c r="FT1758" s="44"/>
    </row>
    <row r="1759" spans="5:176" x14ac:dyDescent="0.2">
      <c r="E1759" s="70"/>
      <c r="FT1759" s="44"/>
    </row>
    <row r="1760" spans="5:176" x14ac:dyDescent="0.2">
      <c r="E1760" s="70"/>
      <c r="FT1760" s="44"/>
    </row>
    <row r="1761" spans="5:176" x14ac:dyDescent="0.2">
      <c r="E1761" s="70"/>
      <c r="FT1761" s="44"/>
    </row>
    <row r="1762" spans="5:176" x14ac:dyDescent="0.2">
      <c r="E1762" s="70"/>
      <c r="FT1762" s="44"/>
    </row>
    <row r="1763" spans="5:176" x14ac:dyDescent="0.2">
      <c r="E1763" s="70"/>
      <c r="FT1763" s="44"/>
    </row>
    <row r="1764" spans="5:176" x14ac:dyDescent="0.2">
      <c r="E1764" s="70"/>
      <c r="FT1764" s="44"/>
    </row>
    <row r="1765" spans="5:176" x14ac:dyDescent="0.2">
      <c r="E1765" s="70"/>
      <c r="FT1765" s="44"/>
    </row>
    <row r="1766" spans="5:176" x14ac:dyDescent="0.2">
      <c r="E1766" s="70"/>
      <c r="FT1766" s="44"/>
    </row>
    <row r="1767" spans="5:176" x14ac:dyDescent="0.2">
      <c r="E1767" s="70"/>
      <c r="FT1767" s="44"/>
    </row>
    <row r="1768" spans="5:176" x14ac:dyDescent="0.2">
      <c r="E1768" s="70"/>
      <c r="FT1768" s="44"/>
    </row>
    <row r="1769" spans="5:176" x14ac:dyDescent="0.2">
      <c r="E1769" s="70"/>
      <c r="FT1769" s="44"/>
    </row>
    <row r="1770" spans="5:176" x14ac:dyDescent="0.2">
      <c r="E1770" s="70"/>
      <c r="FT1770" s="44"/>
    </row>
    <row r="1771" spans="5:176" x14ac:dyDescent="0.2">
      <c r="E1771" s="70"/>
      <c r="FT1771" s="44"/>
    </row>
    <row r="1772" spans="5:176" x14ac:dyDescent="0.2">
      <c r="E1772" s="70"/>
      <c r="FT1772" s="44"/>
    </row>
    <row r="1773" spans="5:176" x14ac:dyDescent="0.2">
      <c r="E1773" s="70"/>
      <c r="FT1773" s="44"/>
    </row>
    <row r="1774" spans="5:176" x14ac:dyDescent="0.2">
      <c r="E1774" s="70"/>
      <c r="FT1774" s="44"/>
    </row>
    <row r="1775" spans="5:176" x14ac:dyDescent="0.2">
      <c r="E1775" s="70"/>
      <c r="FT1775" s="44"/>
    </row>
    <row r="1776" spans="5:176" x14ac:dyDescent="0.2">
      <c r="E1776" s="70"/>
      <c r="FT1776" s="44"/>
    </row>
    <row r="1777" spans="5:176" x14ac:dyDescent="0.2">
      <c r="E1777" s="70"/>
      <c r="FT1777" s="44"/>
    </row>
    <row r="1778" spans="5:176" x14ac:dyDescent="0.2">
      <c r="E1778" s="70"/>
      <c r="FT1778" s="44"/>
    </row>
    <row r="1779" spans="5:176" x14ac:dyDescent="0.2">
      <c r="E1779" s="70"/>
      <c r="FT1779" s="44"/>
    </row>
    <row r="1780" spans="5:176" x14ac:dyDescent="0.2">
      <c r="E1780" s="70"/>
      <c r="FT1780" s="44"/>
    </row>
    <row r="1781" spans="5:176" x14ac:dyDescent="0.2">
      <c r="E1781" s="70"/>
      <c r="FT1781" s="44"/>
    </row>
    <row r="1782" spans="5:176" x14ac:dyDescent="0.2">
      <c r="E1782" s="70"/>
      <c r="FT1782" s="44"/>
    </row>
    <row r="1783" spans="5:176" x14ac:dyDescent="0.2">
      <c r="E1783" s="70"/>
      <c r="FT1783" s="44"/>
    </row>
    <row r="1784" spans="5:176" x14ac:dyDescent="0.2">
      <c r="E1784" s="70"/>
      <c r="FT1784" s="44"/>
    </row>
    <row r="1785" spans="5:176" x14ac:dyDescent="0.2">
      <c r="E1785" s="70"/>
      <c r="FT1785" s="44"/>
    </row>
    <row r="1786" spans="5:176" x14ac:dyDescent="0.2">
      <c r="E1786" s="70"/>
      <c r="FT1786" s="44"/>
    </row>
    <row r="1787" spans="5:176" x14ac:dyDescent="0.2">
      <c r="E1787" s="70"/>
      <c r="FT1787" s="44"/>
    </row>
    <row r="1788" spans="5:176" x14ac:dyDescent="0.2">
      <c r="E1788" s="70"/>
      <c r="FT1788" s="44"/>
    </row>
    <row r="1789" spans="5:176" x14ac:dyDescent="0.2">
      <c r="E1789" s="70"/>
      <c r="FT1789" s="44"/>
    </row>
    <row r="1790" spans="5:176" x14ac:dyDescent="0.2">
      <c r="E1790" s="70"/>
      <c r="FT1790" s="44"/>
    </row>
    <row r="1791" spans="5:176" x14ac:dyDescent="0.2">
      <c r="E1791" s="70"/>
      <c r="FT1791" s="44"/>
    </row>
    <row r="1792" spans="5:176" x14ac:dyDescent="0.2">
      <c r="E1792" s="70"/>
      <c r="FT1792" s="44"/>
    </row>
    <row r="1793" spans="5:176" x14ac:dyDescent="0.2">
      <c r="E1793" s="70"/>
      <c r="FT1793" s="44"/>
    </row>
    <row r="1794" spans="5:176" x14ac:dyDescent="0.2">
      <c r="E1794" s="70"/>
      <c r="FT1794" s="44"/>
    </row>
    <row r="1795" spans="5:176" x14ac:dyDescent="0.2">
      <c r="E1795" s="70"/>
      <c r="FT1795" s="44"/>
    </row>
    <row r="1796" spans="5:176" x14ac:dyDescent="0.2">
      <c r="E1796" s="70"/>
      <c r="FT1796" s="44"/>
    </row>
    <row r="1797" spans="5:176" x14ac:dyDescent="0.2">
      <c r="E1797" s="70"/>
      <c r="FT1797" s="44"/>
    </row>
    <row r="1798" spans="5:176" x14ac:dyDescent="0.2">
      <c r="E1798" s="70"/>
      <c r="FT1798" s="44"/>
    </row>
    <row r="1799" spans="5:176" x14ac:dyDescent="0.2">
      <c r="E1799" s="70"/>
      <c r="FT1799" s="44"/>
    </row>
    <row r="1800" spans="5:176" x14ac:dyDescent="0.2">
      <c r="E1800" s="70"/>
      <c r="FT1800" s="44"/>
    </row>
    <row r="1801" spans="5:176" x14ac:dyDescent="0.2">
      <c r="E1801" s="70"/>
      <c r="FT1801" s="44"/>
    </row>
    <row r="1802" spans="5:176" x14ac:dyDescent="0.2">
      <c r="E1802" s="70"/>
      <c r="EH1802" s="61"/>
      <c r="FT1802" s="44"/>
    </row>
    <row r="1803" spans="5:176" x14ac:dyDescent="0.2">
      <c r="E1803" s="70"/>
      <c r="FT1803" s="44"/>
    </row>
    <row r="1804" spans="5:176" x14ac:dyDescent="0.2">
      <c r="E1804" s="70"/>
      <c r="FT1804" s="44"/>
    </row>
    <row r="1805" spans="5:176" x14ac:dyDescent="0.2">
      <c r="E1805" s="70"/>
      <c r="FT1805" s="44"/>
    </row>
    <row r="1806" spans="5:176" x14ac:dyDescent="0.2">
      <c r="E1806" s="70"/>
      <c r="FT1806" s="44"/>
    </row>
    <row r="1807" spans="5:176" x14ac:dyDescent="0.2">
      <c r="E1807" s="70"/>
      <c r="FT1807" s="44"/>
    </row>
    <row r="1808" spans="5:176" x14ac:dyDescent="0.2">
      <c r="E1808" s="70"/>
      <c r="FT1808" s="44"/>
    </row>
    <row r="1809" spans="5:176" x14ac:dyDescent="0.2">
      <c r="E1809" s="70"/>
      <c r="FT1809" s="44"/>
    </row>
    <row r="1810" spans="5:176" x14ac:dyDescent="0.2">
      <c r="E1810" s="70"/>
      <c r="FT1810" s="44"/>
    </row>
    <row r="1811" spans="5:176" x14ac:dyDescent="0.2">
      <c r="E1811" s="70"/>
      <c r="FT1811" s="44"/>
    </row>
    <row r="1812" spans="5:176" x14ac:dyDescent="0.2">
      <c r="E1812" s="70"/>
      <c r="FT1812" s="44"/>
    </row>
    <row r="1813" spans="5:176" x14ac:dyDescent="0.2">
      <c r="E1813" s="70"/>
      <c r="FT1813" s="44"/>
    </row>
    <row r="1814" spans="5:176" x14ac:dyDescent="0.2">
      <c r="E1814" s="70"/>
      <c r="FT1814" s="44"/>
    </row>
    <row r="1815" spans="5:176" x14ac:dyDescent="0.2">
      <c r="E1815" s="70"/>
      <c r="FT1815" s="44"/>
    </row>
    <row r="1816" spans="5:176" x14ac:dyDescent="0.2">
      <c r="E1816" s="70"/>
      <c r="FT1816" s="44"/>
    </row>
    <row r="1817" spans="5:176" x14ac:dyDescent="0.2">
      <c r="E1817" s="70"/>
      <c r="FT1817" s="44"/>
    </row>
    <row r="1818" spans="5:176" x14ac:dyDescent="0.2">
      <c r="E1818" s="70"/>
      <c r="FT1818" s="44"/>
    </row>
    <row r="1819" spans="5:176" x14ac:dyDescent="0.2">
      <c r="E1819" s="70"/>
      <c r="FT1819" s="44"/>
    </row>
    <row r="1820" spans="5:176" x14ac:dyDescent="0.2">
      <c r="E1820" s="70"/>
      <c r="FT1820" s="44"/>
    </row>
    <row r="1821" spans="5:176" x14ac:dyDescent="0.2">
      <c r="E1821" s="70"/>
      <c r="FT1821" s="44"/>
    </row>
    <row r="1822" spans="5:176" x14ac:dyDescent="0.2">
      <c r="E1822" s="70"/>
      <c r="FT1822" s="44"/>
    </row>
    <row r="1823" spans="5:176" x14ac:dyDescent="0.2">
      <c r="E1823" s="70"/>
      <c r="FT1823" s="44"/>
    </row>
    <row r="1824" spans="5:176" x14ac:dyDescent="0.2">
      <c r="E1824" s="70"/>
      <c r="FT1824" s="44"/>
    </row>
    <row r="1825" spans="5:176" x14ac:dyDescent="0.2">
      <c r="E1825" s="70"/>
      <c r="FT1825" s="44"/>
    </row>
    <row r="1826" spans="5:176" x14ac:dyDescent="0.2">
      <c r="E1826" s="70"/>
      <c r="FT1826" s="44"/>
    </row>
    <row r="1827" spans="5:176" x14ac:dyDescent="0.2">
      <c r="E1827" s="70"/>
      <c r="FT1827" s="44"/>
    </row>
    <row r="1828" spans="5:176" x14ac:dyDescent="0.2">
      <c r="E1828" s="70"/>
      <c r="FT1828" s="44"/>
    </row>
    <row r="1829" spans="5:176" x14ac:dyDescent="0.2">
      <c r="E1829" s="70"/>
      <c r="FT1829" s="44"/>
    </row>
    <row r="1830" spans="5:176" x14ac:dyDescent="0.2">
      <c r="E1830" s="70"/>
      <c r="FT1830" s="44"/>
    </row>
    <row r="1831" spans="5:176" x14ac:dyDescent="0.2">
      <c r="E1831" s="70"/>
      <c r="FT1831" s="44"/>
    </row>
    <row r="1832" spans="5:176" x14ac:dyDescent="0.2">
      <c r="E1832" s="70"/>
      <c r="FT1832" s="44"/>
    </row>
    <row r="1833" spans="5:176" x14ac:dyDescent="0.2">
      <c r="E1833" s="70"/>
      <c r="FT1833" s="44"/>
    </row>
    <row r="1834" spans="5:176" x14ac:dyDescent="0.2">
      <c r="E1834" s="70"/>
      <c r="FT1834" s="44"/>
    </row>
    <row r="1835" spans="5:176" x14ac:dyDescent="0.2">
      <c r="E1835" s="70"/>
      <c r="FT1835" s="44"/>
    </row>
    <row r="1836" spans="5:176" x14ac:dyDescent="0.2">
      <c r="E1836" s="70"/>
      <c r="FT1836" s="44"/>
    </row>
    <row r="1837" spans="5:176" x14ac:dyDescent="0.2">
      <c r="E1837" s="70"/>
      <c r="FT1837" s="44"/>
    </row>
    <row r="1838" spans="5:176" x14ac:dyDescent="0.2">
      <c r="E1838" s="70"/>
      <c r="FT1838" s="44"/>
    </row>
    <row r="1839" spans="5:176" x14ac:dyDescent="0.2">
      <c r="E1839" s="70"/>
      <c r="FT1839" s="44"/>
    </row>
    <row r="1840" spans="5:176" x14ac:dyDescent="0.2">
      <c r="E1840" s="70"/>
      <c r="FT1840" s="44"/>
    </row>
    <row r="1841" spans="5:176" x14ac:dyDescent="0.2">
      <c r="E1841" s="70"/>
      <c r="FT1841" s="44"/>
    </row>
    <row r="1842" spans="5:176" x14ac:dyDescent="0.2">
      <c r="E1842" s="70"/>
      <c r="FT1842" s="44"/>
    </row>
    <row r="1843" spans="5:176" x14ac:dyDescent="0.2">
      <c r="E1843" s="70"/>
      <c r="FT1843" s="44"/>
    </row>
    <row r="1844" spans="5:176" x14ac:dyDescent="0.2">
      <c r="E1844" s="70"/>
      <c r="FT1844" s="44"/>
    </row>
    <row r="1845" spans="5:176" x14ac:dyDescent="0.2">
      <c r="E1845" s="70"/>
      <c r="FT1845" s="44"/>
    </row>
    <row r="1846" spans="5:176" x14ac:dyDescent="0.2">
      <c r="E1846" s="70"/>
      <c r="FT1846" s="44"/>
    </row>
    <row r="1847" spans="5:176" x14ac:dyDescent="0.2">
      <c r="E1847" s="70"/>
      <c r="FT1847" s="44"/>
    </row>
    <row r="1848" spans="5:176" x14ac:dyDescent="0.2">
      <c r="E1848" s="70"/>
      <c r="FT1848" s="44"/>
    </row>
    <row r="1849" spans="5:176" x14ac:dyDescent="0.2">
      <c r="E1849" s="70"/>
      <c r="FT1849" s="44"/>
    </row>
    <row r="1850" spans="5:176" x14ac:dyDescent="0.2">
      <c r="E1850" s="70"/>
      <c r="FT1850" s="44"/>
    </row>
    <row r="1851" spans="5:176" x14ac:dyDescent="0.2">
      <c r="E1851" s="70"/>
      <c r="FT1851" s="44"/>
    </row>
    <row r="1852" spans="5:176" x14ac:dyDescent="0.2">
      <c r="E1852" s="70"/>
      <c r="FT1852" s="44"/>
    </row>
    <row r="1853" spans="5:176" x14ac:dyDescent="0.2">
      <c r="E1853" s="70"/>
      <c r="FT1853" s="44"/>
    </row>
    <row r="1854" spans="5:176" x14ac:dyDescent="0.2">
      <c r="E1854" s="70"/>
      <c r="FT1854" s="44"/>
    </row>
    <row r="1855" spans="5:176" x14ac:dyDescent="0.2">
      <c r="E1855" s="70"/>
      <c r="FT1855" s="44"/>
    </row>
    <row r="1856" spans="5:176" x14ac:dyDescent="0.2">
      <c r="E1856" s="70"/>
      <c r="FT1856" s="44"/>
    </row>
    <row r="1857" spans="5:176" x14ac:dyDescent="0.2">
      <c r="E1857" s="70"/>
      <c r="FT1857" s="44"/>
    </row>
    <row r="1858" spans="5:176" x14ac:dyDescent="0.2">
      <c r="E1858" s="70"/>
      <c r="FT1858" s="44"/>
    </row>
    <row r="1859" spans="5:176" x14ac:dyDescent="0.2">
      <c r="E1859" s="70"/>
      <c r="FT1859" s="44"/>
    </row>
    <row r="1860" spans="5:176" x14ac:dyDescent="0.2">
      <c r="E1860" s="70"/>
      <c r="FT1860" s="44"/>
    </row>
    <row r="1861" spans="5:176" x14ac:dyDescent="0.2">
      <c r="E1861" s="70"/>
      <c r="FT1861" s="44"/>
    </row>
    <row r="1862" spans="5:176" x14ac:dyDescent="0.2">
      <c r="E1862" s="70"/>
      <c r="FT1862" s="44"/>
    </row>
    <row r="1863" spans="5:176" x14ac:dyDescent="0.2">
      <c r="E1863" s="70"/>
      <c r="FT1863" s="44"/>
    </row>
    <row r="1864" spans="5:176" x14ac:dyDescent="0.2">
      <c r="E1864" s="70"/>
      <c r="FT1864" s="44"/>
    </row>
    <row r="1865" spans="5:176" x14ac:dyDescent="0.2">
      <c r="E1865" s="70"/>
      <c r="FT1865" s="44"/>
    </row>
    <row r="1866" spans="5:176" x14ac:dyDescent="0.2">
      <c r="E1866" s="70"/>
      <c r="FT1866" s="44"/>
    </row>
    <row r="1867" spans="5:176" x14ac:dyDescent="0.2">
      <c r="E1867" s="70"/>
      <c r="FT1867" s="44"/>
    </row>
    <row r="1868" spans="5:176" x14ac:dyDescent="0.2">
      <c r="E1868" s="70"/>
      <c r="FT1868" s="44"/>
    </row>
    <row r="1869" spans="5:176" x14ac:dyDescent="0.2">
      <c r="E1869" s="70"/>
      <c r="FT1869" s="44"/>
    </row>
    <row r="1870" spans="5:176" x14ac:dyDescent="0.2">
      <c r="E1870" s="70"/>
      <c r="FT1870" s="44"/>
    </row>
    <row r="1871" spans="5:176" x14ac:dyDescent="0.2">
      <c r="E1871" s="70"/>
      <c r="FT1871" s="44"/>
    </row>
    <row r="1872" spans="5:176" x14ac:dyDescent="0.2">
      <c r="E1872" s="70"/>
      <c r="FT1872" s="44"/>
    </row>
    <row r="1873" spans="5:176" x14ac:dyDescent="0.2">
      <c r="E1873" s="70"/>
      <c r="FT1873" s="44"/>
    </row>
    <row r="1874" spans="5:176" x14ac:dyDescent="0.2">
      <c r="E1874" s="70"/>
      <c r="FT1874" s="44"/>
    </row>
    <row r="1875" spans="5:176" x14ac:dyDescent="0.2">
      <c r="E1875" s="70"/>
      <c r="FT1875" s="44"/>
    </row>
    <row r="1876" spans="5:176" x14ac:dyDescent="0.2">
      <c r="E1876" s="70"/>
      <c r="FT1876" s="44"/>
    </row>
    <row r="1877" spans="5:176" x14ac:dyDescent="0.2">
      <c r="E1877" s="70"/>
      <c r="FT1877" s="44"/>
    </row>
    <row r="1878" spans="5:176" x14ac:dyDescent="0.2">
      <c r="E1878" s="70"/>
      <c r="FT1878" s="44"/>
    </row>
    <row r="1879" spans="5:176" x14ac:dyDescent="0.2">
      <c r="E1879" s="70"/>
      <c r="FT1879" s="44"/>
    </row>
    <row r="1880" spans="5:176" x14ac:dyDescent="0.2">
      <c r="E1880" s="70"/>
      <c r="FT1880" s="44"/>
    </row>
    <row r="1881" spans="5:176" x14ac:dyDescent="0.2">
      <c r="E1881" s="70"/>
      <c r="FT1881" s="44"/>
    </row>
    <row r="1882" spans="5:176" x14ac:dyDescent="0.2">
      <c r="E1882" s="70"/>
      <c r="FT1882" s="44"/>
    </row>
    <row r="1883" spans="5:176" x14ac:dyDescent="0.2">
      <c r="E1883" s="70"/>
      <c r="FT1883" s="44"/>
    </row>
    <row r="1884" spans="5:176" x14ac:dyDescent="0.2">
      <c r="E1884" s="70"/>
      <c r="FT1884" s="44"/>
    </row>
    <row r="1885" spans="5:176" x14ac:dyDescent="0.2">
      <c r="E1885" s="70"/>
      <c r="FT1885" s="44"/>
    </row>
    <row r="1886" spans="5:176" x14ac:dyDescent="0.2">
      <c r="E1886" s="70"/>
      <c r="FT1886" s="44"/>
    </row>
    <row r="1887" spans="5:176" x14ac:dyDescent="0.2">
      <c r="E1887" s="70"/>
      <c r="FT1887" s="44"/>
    </row>
    <row r="1888" spans="5:176" x14ac:dyDescent="0.2">
      <c r="E1888" s="70"/>
      <c r="FT1888" s="44"/>
    </row>
    <row r="1889" spans="5:176" x14ac:dyDescent="0.2">
      <c r="E1889" s="70"/>
      <c r="FT1889" s="44"/>
    </row>
    <row r="1890" spans="5:176" x14ac:dyDescent="0.2">
      <c r="E1890" s="70"/>
      <c r="FT1890" s="44"/>
    </row>
    <row r="1891" spans="5:176" x14ac:dyDescent="0.2">
      <c r="E1891" s="70"/>
      <c r="FT1891" s="44"/>
    </row>
    <row r="1892" spans="5:176" x14ac:dyDescent="0.2">
      <c r="E1892" s="70"/>
      <c r="FT1892" s="44"/>
    </row>
    <row r="1893" spans="5:176" x14ac:dyDescent="0.2">
      <c r="E1893" s="70"/>
      <c r="FT1893" s="44"/>
    </row>
    <row r="1894" spans="5:176" x14ac:dyDescent="0.2">
      <c r="E1894" s="70"/>
      <c r="FT1894" s="44"/>
    </row>
    <row r="1895" spans="5:176" x14ac:dyDescent="0.2">
      <c r="E1895" s="70"/>
      <c r="FT1895" s="44"/>
    </row>
    <row r="1896" spans="5:176" x14ac:dyDescent="0.2">
      <c r="E1896" s="70"/>
      <c r="FT1896" s="44"/>
    </row>
    <row r="1897" spans="5:176" x14ac:dyDescent="0.2">
      <c r="E1897" s="70"/>
      <c r="FT1897" s="44"/>
    </row>
    <row r="1898" spans="5:176" x14ac:dyDescent="0.2">
      <c r="E1898" s="70"/>
      <c r="FT1898" s="44"/>
    </row>
    <row r="1899" spans="5:176" x14ac:dyDescent="0.2">
      <c r="E1899" s="70"/>
      <c r="FT1899" s="44"/>
    </row>
    <row r="1900" spans="5:176" x14ac:dyDescent="0.2">
      <c r="E1900" s="70"/>
      <c r="FT1900" s="44"/>
    </row>
    <row r="1901" spans="5:176" x14ac:dyDescent="0.2">
      <c r="E1901" s="70"/>
      <c r="FT1901" s="44"/>
    </row>
    <row r="1902" spans="5:176" x14ac:dyDescent="0.2">
      <c r="E1902" s="70"/>
      <c r="FT1902" s="44"/>
    </row>
    <row r="1903" spans="5:176" x14ac:dyDescent="0.2">
      <c r="E1903" s="70"/>
      <c r="FT1903" s="44"/>
    </row>
    <row r="1904" spans="5:176" x14ac:dyDescent="0.2">
      <c r="E1904" s="70"/>
      <c r="FT1904" s="44"/>
    </row>
    <row r="1905" spans="5:176" x14ac:dyDescent="0.2">
      <c r="E1905" s="70"/>
      <c r="FT1905" s="44"/>
    </row>
    <row r="1906" spans="5:176" x14ac:dyDescent="0.2">
      <c r="E1906" s="70"/>
      <c r="FT1906" s="44"/>
    </row>
    <row r="1907" spans="5:176" x14ac:dyDescent="0.2">
      <c r="E1907" s="70"/>
      <c r="FT1907" s="44"/>
    </row>
    <row r="1908" spans="5:176" x14ac:dyDescent="0.2">
      <c r="E1908" s="70"/>
      <c r="FT1908" s="44"/>
    </row>
    <row r="1909" spans="5:176" x14ac:dyDescent="0.2">
      <c r="E1909" s="70"/>
      <c r="FT1909" s="44"/>
    </row>
    <row r="1910" spans="5:176" x14ac:dyDescent="0.2">
      <c r="E1910" s="70"/>
      <c r="FT1910" s="44"/>
    </row>
    <row r="1911" spans="5:176" x14ac:dyDescent="0.2">
      <c r="E1911" s="70"/>
      <c r="FT1911" s="44"/>
    </row>
    <row r="1912" spans="5:176" x14ac:dyDescent="0.2">
      <c r="E1912" s="70"/>
      <c r="FT1912" s="44"/>
    </row>
    <row r="1913" spans="5:176" x14ac:dyDescent="0.2">
      <c r="E1913" s="70"/>
      <c r="FT1913" s="44"/>
    </row>
    <row r="1914" spans="5:176" x14ac:dyDescent="0.2">
      <c r="E1914" s="70"/>
      <c r="FT1914" s="44"/>
    </row>
    <row r="1915" spans="5:176" x14ac:dyDescent="0.2">
      <c r="E1915" s="70"/>
      <c r="FT1915" s="44"/>
    </row>
    <row r="1916" spans="5:176" x14ac:dyDescent="0.2">
      <c r="E1916" s="70"/>
      <c r="FT1916" s="44"/>
    </row>
    <row r="1917" spans="5:176" x14ac:dyDescent="0.2">
      <c r="E1917" s="70"/>
      <c r="FT1917" s="44"/>
    </row>
    <row r="1918" spans="5:176" x14ac:dyDescent="0.2">
      <c r="E1918" s="70"/>
      <c r="FT1918" s="44"/>
    </row>
    <row r="1919" spans="5:176" x14ac:dyDescent="0.2">
      <c r="E1919" s="70"/>
      <c r="FT1919" s="44"/>
    </row>
    <row r="1920" spans="5:176" x14ac:dyDescent="0.2">
      <c r="E1920" s="70"/>
      <c r="FT1920" s="44"/>
    </row>
    <row r="1921" spans="5:176" x14ac:dyDescent="0.2">
      <c r="E1921" s="70"/>
      <c r="FT1921" s="44"/>
    </row>
    <row r="1922" spans="5:176" x14ac:dyDescent="0.2">
      <c r="E1922" s="70"/>
      <c r="FT1922" s="44"/>
    </row>
    <row r="1923" spans="5:176" x14ac:dyDescent="0.2">
      <c r="E1923" s="70"/>
      <c r="FT1923" s="44"/>
    </row>
    <row r="1924" spans="5:176" x14ac:dyDescent="0.2">
      <c r="E1924" s="70"/>
      <c r="FT1924" s="44"/>
    </row>
    <row r="1925" spans="5:176" x14ac:dyDescent="0.2">
      <c r="E1925" s="70"/>
      <c r="FT1925" s="44"/>
    </row>
    <row r="1926" spans="5:176" x14ac:dyDescent="0.2">
      <c r="E1926" s="70"/>
      <c r="FT1926" s="44"/>
    </row>
    <row r="1927" spans="5:176" x14ac:dyDescent="0.2">
      <c r="E1927" s="70"/>
      <c r="FT1927" s="44"/>
    </row>
    <row r="1928" spans="5:176" x14ac:dyDescent="0.2">
      <c r="E1928" s="70"/>
      <c r="FT1928" s="44"/>
    </row>
    <row r="1929" spans="5:176" x14ac:dyDescent="0.2">
      <c r="E1929" s="70"/>
      <c r="FT1929" s="44"/>
    </row>
    <row r="1930" spans="5:176" x14ac:dyDescent="0.2">
      <c r="E1930" s="70"/>
      <c r="FT1930" s="44"/>
    </row>
    <row r="1931" spans="5:176" x14ac:dyDescent="0.2">
      <c r="E1931" s="70"/>
      <c r="FT1931" s="44"/>
    </row>
    <row r="1932" spans="5:176" x14ac:dyDescent="0.2">
      <c r="E1932" s="70"/>
      <c r="FT1932" s="44"/>
    </row>
    <row r="1933" spans="5:176" x14ac:dyDescent="0.2">
      <c r="E1933" s="70"/>
      <c r="FT1933" s="44"/>
    </row>
    <row r="1934" spans="5:176" x14ac:dyDescent="0.2">
      <c r="E1934" s="70"/>
      <c r="FT1934" s="44"/>
    </row>
    <row r="1935" spans="5:176" x14ac:dyDescent="0.2">
      <c r="E1935" s="70"/>
      <c r="FT1935" s="44"/>
    </row>
    <row r="1936" spans="5:176" x14ac:dyDescent="0.2">
      <c r="E1936" s="70"/>
      <c r="FT1936" s="44"/>
    </row>
    <row r="1937" spans="5:176" x14ac:dyDescent="0.2">
      <c r="E1937" s="70"/>
      <c r="FT1937" s="44"/>
    </row>
    <row r="1938" spans="5:176" x14ac:dyDescent="0.2">
      <c r="E1938" s="70"/>
      <c r="FT1938" s="44"/>
    </row>
    <row r="1939" spans="5:176" x14ac:dyDescent="0.2">
      <c r="E1939" s="70"/>
      <c r="FT1939" s="44"/>
    </row>
    <row r="1940" spans="5:176" x14ac:dyDescent="0.2">
      <c r="E1940" s="70"/>
      <c r="FT1940" s="44"/>
    </row>
    <row r="1941" spans="5:176" x14ac:dyDescent="0.2">
      <c r="E1941" s="70"/>
      <c r="FT1941" s="44"/>
    </row>
    <row r="1942" spans="5:176" x14ac:dyDescent="0.2">
      <c r="E1942" s="70"/>
      <c r="FT1942" s="44"/>
    </row>
    <row r="1943" spans="5:176" x14ac:dyDescent="0.2">
      <c r="E1943" s="70"/>
      <c r="FT1943" s="44"/>
    </row>
    <row r="1944" spans="5:176" x14ac:dyDescent="0.2">
      <c r="E1944" s="70"/>
      <c r="FT1944" s="44"/>
    </row>
    <row r="1945" spans="5:176" x14ac:dyDescent="0.2">
      <c r="E1945" s="70"/>
      <c r="FT1945" s="44"/>
    </row>
    <row r="1946" spans="5:176" x14ac:dyDescent="0.2">
      <c r="E1946" s="70"/>
      <c r="FT1946" s="44"/>
    </row>
    <row r="1947" spans="5:176" x14ac:dyDescent="0.2">
      <c r="E1947" s="70"/>
      <c r="FT1947" s="44"/>
    </row>
    <row r="1948" spans="5:176" x14ac:dyDescent="0.2">
      <c r="E1948" s="70"/>
      <c r="FT1948" s="44"/>
    </row>
    <row r="1949" spans="5:176" x14ac:dyDescent="0.2">
      <c r="E1949" s="70"/>
      <c r="FT1949" s="44"/>
    </row>
    <row r="1950" spans="5:176" x14ac:dyDescent="0.2">
      <c r="E1950" s="70"/>
      <c r="FT1950" s="44"/>
    </row>
    <row r="1951" spans="5:176" x14ac:dyDescent="0.2">
      <c r="E1951" s="70"/>
      <c r="FT1951" s="44"/>
    </row>
    <row r="1952" spans="5:176" x14ac:dyDescent="0.2">
      <c r="E1952" s="70"/>
      <c r="FT1952" s="44"/>
    </row>
    <row r="1953" spans="5:176" x14ac:dyDescent="0.2">
      <c r="E1953" s="70"/>
      <c r="FT1953" s="44"/>
    </row>
    <row r="1954" spans="5:176" x14ac:dyDescent="0.2">
      <c r="E1954" s="70"/>
      <c r="FT1954" s="44"/>
    </row>
    <row r="1955" spans="5:176" x14ac:dyDescent="0.2">
      <c r="E1955" s="70"/>
      <c r="FT1955" s="44"/>
    </row>
    <row r="1956" spans="5:176" x14ac:dyDescent="0.2">
      <c r="E1956" s="70"/>
      <c r="FT1956" s="44"/>
    </row>
    <row r="1957" spans="5:176" x14ac:dyDescent="0.2">
      <c r="E1957" s="70"/>
      <c r="FT1957" s="44"/>
    </row>
    <row r="1958" spans="5:176" x14ac:dyDescent="0.2">
      <c r="E1958" s="70"/>
      <c r="FT1958" s="44"/>
    </row>
    <row r="1959" spans="5:176" x14ac:dyDescent="0.2">
      <c r="E1959" s="70"/>
      <c r="FT1959" s="44"/>
    </row>
    <row r="1960" spans="5:176" x14ac:dyDescent="0.2">
      <c r="E1960" s="70"/>
      <c r="FT1960" s="44"/>
    </row>
    <row r="1961" spans="5:176" x14ac:dyDescent="0.2">
      <c r="E1961" s="70"/>
      <c r="FT1961" s="44"/>
    </row>
    <row r="1962" spans="5:176" x14ac:dyDescent="0.2">
      <c r="E1962" s="70"/>
      <c r="FT1962" s="44"/>
    </row>
    <row r="1963" spans="5:176" x14ac:dyDescent="0.2">
      <c r="E1963" s="70"/>
      <c r="FT1963" s="44"/>
    </row>
    <row r="1964" spans="5:176" x14ac:dyDescent="0.2">
      <c r="E1964" s="70"/>
      <c r="FT1964" s="44"/>
    </row>
    <row r="1965" spans="5:176" x14ac:dyDescent="0.2">
      <c r="E1965" s="70"/>
      <c r="FT1965" s="44"/>
    </row>
    <row r="1966" spans="5:176" x14ac:dyDescent="0.2">
      <c r="E1966" s="70"/>
      <c r="FT1966" s="44"/>
    </row>
    <row r="1967" spans="5:176" x14ac:dyDescent="0.2">
      <c r="E1967" s="70"/>
      <c r="FT1967" s="44"/>
    </row>
    <row r="1968" spans="5:176" x14ac:dyDescent="0.2">
      <c r="E1968" s="70"/>
      <c r="FT1968" s="44"/>
    </row>
    <row r="1969" spans="5:176" x14ac:dyDescent="0.2">
      <c r="E1969" s="70"/>
      <c r="FT1969" s="44"/>
    </row>
    <row r="1970" spans="5:176" x14ac:dyDescent="0.2">
      <c r="E1970" s="70"/>
      <c r="FT1970" s="44"/>
    </row>
    <row r="1971" spans="5:176" x14ac:dyDescent="0.2">
      <c r="E1971" s="70"/>
      <c r="FT1971" s="44"/>
    </row>
    <row r="1972" spans="5:176" x14ac:dyDescent="0.2">
      <c r="E1972" s="70"/>
      <c r="FT1972" s="44"/>
    </row>
    <row r="1973" spans="5:176" x14ac:dyDescent="0.2">
      <c r="E1973" s="70"/>
      <c r="FT1973" s="44"/>
    </row>
    <row r="1974" spans="5:176" x14ac:dyDescent="0.2">
      <c r="E1974" s="70"/>
      <c r="FT1974" s="44"/>
    </row>
    <row r="1975" spans="5:176" x14ac:dyDescent="0.2">
      <c r="E1975" s="70"/>
      <c r="FT1975" s="44"/>
    </row>
    <row r="1976" spans="5:176" x14ac:dyDescent="0.2">
      <c r="E1976" s="70"/>
      <c r="FT1976" s="44"/>
    </row>
    <row r="1977" spans="5:176" x14ac:dyDescent="0.2">
      <c r="E1977" s="70"/>
      <c r="FT1977" s="44"/>
    </row>
    <row r="1978" spans="5:176" x14ac:dyDescent="0.2">
      <c r="E1978" s="70"/>
      <c r="FT1978" s="44"/>
    </row>
    <row r="1979" spans="5:176" x14ac:dyDescent="0.2">
      <c r="E1979" s="70"/>
      <c r="FT1979" s="44"/>
    </row>
    <row r="1980" spans="5:176" x14ac:dyDescent="0.2">
      <c r="E1980" s="70"/>
      <c r="FT1980" s="44"/>
    </row>
    <row r="1981" spans="5:176" x14ac:dyDescent="0.2">
      <c r="E1981" s="70"/>
      <c r="FT1981" s="44"/>
    </row>
    <row r="1982" spans="5:176" x14ac:dyDescent="0.2">
      <c r="E1982" s="70"/>
      <c r="FT1982" s="44"/>
    </row>
    <row r="1983" spans="5:176" x14ac:dyDescent="0.2">
      <c r="E1983" s="70"/>
      <c r="FT1983" s="44"/>
    </row>
    <row r="1984" spans="5:176" x14ac:dyDescent="0.2">
      <c r="E1984" s="70"/>
      <c r="FT1984" s="44"/>
    </row>
    <row r="1985" spans="5:176" x14ac:dyDescent="0.2">
      <c r="E1985" s="70"/>
      <c r="FT1985" s="44"/>
    </row>
    <row r="1986" spans="5:176" x14ac:dyDescent="0.2">
      <c r="E1986" s="70"/>
      <c r="FT1986" s="44"/>
    </row>
    <row r="1987" spans="5:176" x14ac:dyDescent="0.2">
      <c r="E1987" s="70"/>
      <c r="FT1987" s="44"/>
    </row>
    <row r="1988" spans="5:176" x14ac:dyDescent="0.2">
      <c r="E1988" s="70"/>
      <c r="FT1988" s="44"/>
    </row>
    <row r="1989" spans="5:176" x14ac:dyDescent="0.2">
      <c r="E1989" s="70"/>
      <c r="FT1989" s="44"/>
    </row>
    <row r="1990" spans="5:176" x14ac:dyDescent="0.2">
      <c r="E1990" s="70"/>
      <c r="FT1990" s="44"/>
    </row>
    <row r="1991" spans="5:176" x14ac:dyDescent="0.2">
      <c r="E1991" s="70"/>
      <c r="FT1991" s="44"/>
    </row>
    <row r="1992" spans="5:176" x14ac:dyDescent="0.2">
      <c r="E1992" s="70"/>
      <c r="FT1992" s="44"/>
    </row>
    <row r="1993" spans="5:176" x14ac:dyDescent="0.2">
      <c r="E1993" s="70"/>
      <c r="FT1993" s="44"/>
    </row>
    <row r="1994" spans="5:176" x14ac:dyDescent="0.2">
      <c r="E1994" s="70"/>
      <c r="FT1994" s="44"/>
    </row>
    <row r="1995" spans="5:176" x14ac:dyDescent="0.2">
      <c r="E1995" s="70"/>
      <c r="FT1995" s="44"/>
    </row>
    <row r="1996" spans="5:176" x14ac:dyDescent="0.2">
      <c r="E1996" s="70"/>
      <c r="FT1996" s="44"/>
    </row>
    <row r="1997" spans="5:176" x14ac:dyDescent="0.2">
      <c r="E1997" s="70"/>
      <c r="FT1997" s="44"/>
    </row>
    <row r="1998" spans="5:176" x14ac:dyDescent="0.2">
      <c r="E1998" s="70"/>
      <c r="FT1998" s="44"/>
    </row>
    <row r="1999" spans="5:176" x14ac:dyDescent="0.2">
      <c r="E1999" s="70"/>
      <c r="FT1999" s="44"/>
    </row>
    <row r="2000" spans="5:176" x14ac:dyDescent="0.2">
      <c r="E2000" s="70"/>
      <c r="FT2000" s="44"/>
    </row>
    <row r="2001" spans="5:176" x14ac:dyDescent="0.2">
      <c r="E2001" s="70"/>
      <c r="FT2001" s="44"/>
    </row>
    <row r="2002" spans="5:176" x14ac:dyDescent="0.2">
      <c r="E2002" s="70"/>
      <c r="FT2002" s="44"/>
    </row>
    <row r="2003" spans="5:176" x14ac:dyDescent="0.2">
      <c r="E2003" s="70"/>
      <c r="FT2003" s="44"/>
    </row>
    <row r="2004" spans="5:176" x14ac:dyDescent="0.2">
      <c r="E2004" s="70"/>
      <c r="FT2004" s="44"/>
    </row>
    <row r="2005" spans="5:176" x14ac:dyDescent="0.2">
      <c r="E2005" s="70"/>
      <c r="FT2005" s="44"/>
    </row>
    <row r="2006" spans="5:176" x14ac:dyDescent="0.2">
      <c r="E2006" s="70"/>
      <c r="FT2006" s="44"/>
    </row>
    <row r="2007" spans="5:176" x14ac:dyDescent="0.2">
      <c r="E2007" s="70"/>
      <c r="FT2007" s="44"/>
    </row>
    <row r="2008" spans="5:176" x14ac:dyDescent="0.2">
      <c r="E2008" s="70"/>
      <c r="FT2008" s="44"/>
    </row>
    <row r="2009" spans="5:176" x14ac:dyDescent="0.2">
      <c r="E2009" s="70"/>
      <c r="FT2009" s="44"/>
    </row>
    <row r="2010" spans="5:176" x14ac:dyDescent="0.2">
      <c r="E2010" s="70"/>
      <c r="FT2010" s="44"/>
    </row>
    <row r="2011" spans="5:176" x14ac:dyDescent="0.2">
      <c r="E2011" s="70"/>
      <c r="FT2011" s="44"/>
    </row>
    <row r="2012" spans="5:176" x14ac:dyDescent="0.2">
      <c r="E2012" s="70"/>
      <c r="FT2012" s="44"/>
    </row>
    <row r="2013" spans="5:176" x14ac:dyDescent="0.2">
      <c r="E2013" s="70"/>
      <c r="FT2013" s="44"/>
    </row>
    <row r="2014" spans="5:176" x14ac:dyDescent="0.2">
      <c r="E2014" s="70"/>
      <c r="FT2014" s="44"/>
    </row>
    <row r="2015" spans="5:176" x14ac:dyDescent="0.2">
      <c r="E2015" s="70"/>
      <c r="FT2015" s="44"/>
    </row>
    <row r="2016" spans="5:176" x14ac:dyDescent="0.2">
      <c r="E2016" s="70"/>
      <c r="FT2016" s="44"/>
    </row>
    <row r="2017" spans="5:176" x14ac:dyDescent="0.2">
      <c r="E2017" s="70"/>
      <c r="FT2017" s="44"/>
    </row>
    <row r="2018" spans="5:176" x14ac:dyDescent="0.2">
      <c r="E2018" s="70"/>
      <c r="FT2018" s="44"/>
    </row>
    <row r="2019" spans="5:176" x14ac:dyDescent="0.2">
      <c r="E2019" s="70"/>
      <c r="FT2019" s="44"/>
    </row>
    <row r="2020" spans="5:176" x14ac:dyDescent="0.2">
      <c r="E2020" s="70"/>
      <c r="FT2020" s="44"/>
    </row>
    <row r="2021" spans="5:176" x14ac:dyDescent="0.2">
      <c r="E2021" s="70"/>
      <c r="FT2021" s="44"/>
    </row>
    <row r="2022" spans="5:176" x14ac:dyDescent="0.2">
      <c r="E2022" s="70"/>
      <c r="FT2022" s="44"/>
    </row>
    <row r="2023" spans="5:176" x14ac:dyDescent="0.2">
      <c r="E2023" s="70"/>
      <c r="FT2023" s="44"/>
    </row>
    <row r="2024" spans="5:176" x14ac:dyDescent="0.2">
      <c r="E2024" s="70"/>
      <c r="FT2024" s="44"/>
    </row>
    <row r="2025" spans="5:176" x14ac:dyDescent="0.2">
      <c r="E2025" s="70"/>
      <c r="FT2025" s="44"/>
    </row>
    <row r="2026" spans="5:176" x14ac:dyDescent="0.2">
      <c r="E2026" s="70"/>
      <c r="FT2026" s="44"/>
    </row>
    <row r="2027" spans="5:176" x14ac:dyDescent="0.2">
      <c r="E2027" s="70"/>
      <c r="FT2027" s="44"/>
    </row>
    <row r="2028" spans="5:176" x14ac:dyDescent="0.2">
      <c r="E2028" s="70"/>
      <c r="FT2028" s="44"/>
    </row>
    <row r="2029" spans="5:176" x14ac:dyDescent="0.2">
      <c r="E2029" s="70"/>
      <c r="FT2029" s="44"/>
    </row>
    <row r="2030" spans="5:176" x14ac:dyDescent="0.2">
      <c r="E2030" s="70"/>
      <c r="FT2030" s="44"/>
    </row>
    <row r="2031" spans="5:176" x14ac:dyDescent="0.2">
      <c r="E2031" s="70"/>
      <c r="FT2031" s="44"/>
    </row>
    <row r="2032" spans="5:176" x14ac:dyDescent="0.2">
      <c r="E2032" s="70"/>
      <c r="FT2032" s="44"/>
    </row>
    <row r="2033" spans="5:176" x14ac:dyDescent="0.2">
      <c r="E2033" s="70"/>
      <c r="FT2033" s="44"/>
    </row>
    <row r="2034" spans="5:176" x14ac:dyDescent="0.2">
      <c r="E2034" s="70"/>
      <c r="FT2034" s="44"/>
    </row>
    <row r="2035" spans="5:176" x14ac:dyDescent="0.2">
      <c r="E2035" s="70"/>
      <c r="FT2035" s="44"/>
    </row>
    <row r="2036" spans="5:176" x14ac:dyDescent="0.2">
      <c r="E2036" s="70"/>
      <c r="FT2036" s="44"/>
    </row>
    <row r="2037" spans="5:176" x14ac:dyDescent="0.2">
      <c r="E2037" s="70"/>
      <c r="FT2037" s="44"/>
    </row>
    <row r="2038" spans="5:176" x14ac:dyDescent="0.2">
      <c r="E2038" s="70"/>
      <c r="FT2038" s="44"/>
    </row>
    <row r="2039" spans="5:176" x14ac:dyDescent="0.2">
      <c r="E2039" s="70"/>
      <c r="FT2039" s="44"/>
    </row>
    <row r="2040" spans="5:176" x14ac:dyDescent="0.2">
      <c r="E2040" s="70"/>
      <c r="FT2040" s="44"/>
    </row>
    <row r="2041" spans="5:176" x14ac:dyDescent="0.2">
      <c r="E2041" s="70"/>
      <c r="FT2041" s="44"/>
    </row>
    <row r="2042" spans="5:176" x14ac:dyDescent="0.2">
      <c r="E2042" s="70"/>
      <c r="FT2042" s="44"/>
    </row>
    <row r="2043" spans="5:176" x14ac:dyDescent="0.2">
      <c r="E2043" s="70"/>
      <c r="FT2043" s="44"/>
    </row>
    <row r="2044" spans="5:176" x14ac:dyDescent="0.2">
      <c r="E2044" s="70"/>
      <c r="FT2044" s="44"/>
    </row>
    <row r="2045" spans="5:176" x14ac:dyDescent="0.2">
      <c r="E2045" s="70"/>
      <c r="FT2045" s="44"/>
    </row>
    <row r="2046" spans="5:176" x14ac:dyDescent="0.2">
      <c r="E2046" s="70"/>
      <c r="FT2046" s="44"/>
    </row>
    <row r="2047" spans="5:176" x14ac:dyDescent="0.2">
      <c r="E2047" s="70"/>
      <c r="FT2047" s="44"/>
    </row>
    <row r="2048" spans="5:176" x14ac:dyDescent="0.2">
      <c r="E2048" s="70"/>
      <c r="FT2048" s="44"/>
    </row>
    <row r="2049" spans="5:176" x14ac:dyDescent="0.2">
      <c r="E2049" s="70"/>
      <c r="FT2049" s="44"/>
    </row>
    <row r="2050" spans="5:176" x14ac:dyDescent="0.2">
      <c r="E2050" s="70"/>
      <c r="FT2050" s="44"/>
    </row>
    <row r="2051" spans="5:176" x14ac:dyDescent="0.2">
      <c r="E2051" s="70"/>
      <c r="FT2051" s="44"/>
    </row>
    <row r="2052" spans="5:176" x14ac:dyDescent="0.2">
      <c r="E2052" s="70"/>
      <c r="FT2052" s="44"/>
    </row>
    <row r="2053" spans="5:176" x14ac:dyDescent="0.2">
      <c r="E2053" s="70"/>
      <c r="FT2053" s="44"/>
    </row>
    <row r="2054" spans="5:176" x14ac:dyDescent="0.2">
      <c r="E2054" s="70"/>
      <c r="FT2054" s="44"/>
    </row>
    <row r="2055" spans="5:176" x14ac:dyDescent="0.2">
      <c r="E2055" s="70"/>
      <c r="FT2055" s="44"/>
    </row>
    <row r="2056" spans="5:176" x14ac:dyDescent="0.2">
      <c r="E2056" s="70"/>
      <c r="FT2056" s="44"/>
    </row>
    <row r="2057" spans="5:176" x14ac:dyDescent="0.2">
      <c r="E2057" s="70"/>
      <c r="FT2057" s="44"/>
    </row>
    <row r="2058" spans="5:176" x14ac:dyDescent="0.2">
      <c r="E2058" s="70"/>
      <c r="FT2058" s="44"/>
    </row>
    <row r="2059" spans="5:176" x14ac:dyDescent="0.2">
      <c r="E2059" s="70"/>
      <c r="FT2059" s="44"/>
    </row>
    <row r="2060" spans="5:176" x14ac:dyDescent="0.2">
      <c r="E2060" s="70"/>
      <c r="FT2060" s="44"/>
    </row>
    <row r="2061" spans="5:176" x14ac:dyDescent="0.2">
      <c r="E2061" s="70"/>
      <c r="FT2061" s="44"/>
    </row>
    <row r="2062" spans="5:176" x14ac:dyDescent="0.2">
      <c r="E2062" s="70"/>
      <c r="FT2062" s="44"/>
    </row>
    <row r="2063" spans="5:176" x14ac:dyDescent="0.2">
      <c r="E2063" s="70"/>
      <c r="FT2063" s="44"/>
    </row>
    <row r="2064" spans="5:176" x14ac:dyDescent="0.2">
      <c r="E2064" s="70"/>
      <c r="FT2064" s="44"/>
    </row>
    <row r="2065" spans="5:176" x14ac:dyDescent="0.2">
      <c r="E2065" s="70"/>
      <c r="FT2065" s="44"/>
    </row>
    <row r="2066" spans="5:176" x14ac:dyDescent="0.2">
      <c r="E2066" s="70"/>
      <c r="FT2066" s="44"/>
    </row>
    <row r="2067" spans="5:176" x14ac:dyDescent="0.2">
      <c r="E2067" s="70"/>
      <c r="FT2067" s="44"/>
    </row>
    <row r="2068" spans="5:176" x14ac:dyDescent="0.2">
      <c r="E2068" s="70"/>
      <c r="FT2068" s="44"/>
    </row>
    <row r="2069" spans="5:176" x14ac:dyDescent="0.2">
      <c r="E2069" s="70"/>
      <c r="FT2069" s="44"/>
    </row>
    <row r="2070" spans="5:176" x14ac:dyDescent="0.2">
      <c r="E2070" s="70"/>
      <c r="FT2070" s="44"/>
    </row>
    <row r="2071" spans="5:176" x14ac:dyDescent="0.2">
      <c r="E2071" s="70"/>
      <c r="FT2071" s="44"/>
    </row>
    <row r="2072" spans="5:176" x14ac:dyDescent="0.2">
      <c r="E2072" s="70"/>
      <c r="FT2072" s="44"/>
    </row>
    <row r="2073" spans="5:176" x14ac:dyDescent="0.2">
      <c r="E2073" s="70"/>
      <c r="FT2073" s="44"/>
    </row>
    <row r="2074" spans="5:176" x14ac:dyDescent="0.2">
      <c r="E2074" s="70"/>
      <c r="FT2074" s="44"/>
    </row>
    <row r="2075" spans="5:176" x14ac:dyDescent="0.2">
      <c r="E2075" s="70"/>
      <c r="FT2075" s="44"/>
    </row>
    <row r="2076" spans="5:176" x14ac:dyDescent="0.2">
      <c r="E2076" s="70"/>
      <c r="FT2076" s="44"/>
    </row>
    <row r="2077" spans="5:176" x14ac:dyDescent="0.2">
      <c r="E2077" s="70"/>
      <c r="FT2077" s="44"/>
    </row>
    <row r="2078" spans="5:176" x14ac:dyDescent="0.2">
      <c r="E2078" s="70"/>
      <c r="FT2078" s="44"/>
    </row>
    <row r="2079" spans="5:176" x14ac:dyDescent="0.2">
      <c r="E2079" s="70"/>
      <c r="FT2079" s="44"/>
    </row>
    <row r="2080" spans="5:176" x14ac:dyDescent="0.2">
      <c r="E2080" s="70"/>
      <c r="FT2080" s="44"/>
    </row>
    <row r="2081" spans="5:176" x14ac:dyDescent="0.2">
      <c r="E2081" s="70"/>
      <c r="FT2081" s="44"/>
    </row>
    <row r="2082" spans="5:176" x14ac:dyDescent="0.2">
      <c r="E2082" s="70"/>
      <c r="FT2082" s="44"/>
    </row>
    <row r="2083" spans="5:176" x14ac:dyDescent="0.2">
      <c r="E2083" s="70"/>
      <c r="FT2083" s="44"/>
    </row>
    <row r="2084" spans="5:176" x14ac:dyDescent="0.2">
      <c r="E2084" s="70"/>
      <c r="FT2084" s="44"/>
    </row>
    <row r="2085" spans="5:176" x14ac:dyDescent="0.2">
      <c r="E2085" s="70"/>
      <c r="FT2085" s="44"/>
    </row>
    <row r="2086" spans="5:176" x14ac:dyDescent="0.2">
      <c r="E2086" s="70"/>
      <c r="FT2086" s="44"/>
    </row>
    <row r="2087" spans="5:176" x14ac:dyDescent="0.2">
      <c r="E2087" s="70"/>
      <c r="FT2087" s="44"/>
    </row>
    <row r="2088" spans="5:176" x14ac:dyDescent="0.2">
      <c r="E2088" s="70"/>
      <c r="FT2088" s="44"/>
    </row>
    <row r="2089" spans="5:176" x14ac:dyDescent="0.2">
      <c r="E2089" s="70"/>
      <c r="FT2089" s="44"/>
    </row>
    <row r="2090" spans="5:176" x14ac:dyDescent="0.2">
      <c r="E2090" s="70"/>
      <c r="FT2090" s="44"/>
    </row>
    <row r="2091" spans="5:176" x14ac:dyDescent="0.2">
      <c r="E2091" s="70"/>
      <c r="FT2091" s="44"/>
    </row>
    <row r="2092" spans="5:176" x14ac:dyDescent="0.2">
      <c r="E2092" s="70"/>
      <c r="FT2092" s="44"/>
    </row>
    <row r="2093" spans="5:176" x14ac:dyDescent="0.2">
      <c r="E2093" s="70"/>
      <c r="FT2093" s="44"/>
    </row>
    <row r="2094" spans="5:176" x14ac:dyDescent="0.2">
      <c r="E2094" s="70"/>
      <c r="FT2094" s="44"/>
    </row>
    <row r="2095" spans="5:176" x14ac:dyDescent="0.2">
      <c r="E2095" s="70"/>
      <c r="FT2095" s="44"/>
    </row>
    <row r="2096" spans="5:176" x14ac:dyDescent="0.2">
      <c r="E2096" s="70"/>
      <c r="FT2096" s="44"/>
    </row>
    <row r="2097" spans="5:176" x14ac:dyDescent="0.2">
      <c r="E2097" s="70"/>
      <c r="FT2097" s="44"/>
    </row>
    <row r="2098" spans="5:176" x14ac:dyDescent="0.2">
      <c r="E2098" s="70"/>
      <c r="FT2098" s="44"/>
    </row>
    <row r="2099" spans="5:176" x14ac:dyDescent="0.2">
      <c r="E2099" s="70"/>
      <c r="FT2099" s="44"/>
    </row>
    <row r="2100" spans="5:176" x14ac:dyDescent="0.2">
      <c r="E2100" s="70"/>
      <c r="FT2100" s="44"/>
    </row>
    <row r="2101" spans="5:176" x14ac:dyDescent="0.2">
      <c r="E2101" s="70"/>
      <c r="FT2101" s="44"/>
    </row>
    <row r="2102" spans="5:176" x14ac:dyDescent="0.2">
      <c r="E2102" s="70"/>
      <c r="FT2102" s="44"/>
    </row>
    <row r="2103" spans="5:176" x14ac:dyDescent="0.2">
      <c r="E2103" s="70"/>
      <c r="FT2103" s="44"/>
    </row>
    <row r="2104" spans="5:176" x14ac:dyDescent="0.2">
      <c r="E2104" s="70"/>
      <c r="FT2104" s="44"/>
    </row>
    <row r="2105" spans="5:176" x14ac:dyDescent="0.2">
      <c r="E2105" s="70"/>
      <c r="FT2105" s="44"/>
    </row>
    <row r="2106" spans="5:176" x14ac:dyDescent="0.2">
      <c r="E2106" s="70"/>
      <c r="FT2106" s="44"/>
    </row>
    <row r="2107" spans="5:176" x14ac:dyDescent="0.2">
      <c r="E2107" s="70"/>
      <c r="FT2107" s="44"/>
    </row>
    <row r="2108" spans="5:176" x14ac:dyDescent="0.2">
      <c r="E2108" s="70"/>
      <c r="FT2108" s="44"/>
    </row>
    <row r="2109" spans="5:176" x14ac:dyDescent="0.2">
      <c r="E2109" s="70"/>
      <c r="FT2109" s="44"/>
    </row>
    <row r="2110" spans="5:176" x14ac:dyDescent="0.2">
      <c r="E2110" s="70"/>
      <c r="FT2110" s="44"/>
    </row>
    <row r="2111" spans="5:176" x14ac:dyDescent="0.2">
      <c r="E2111" s="70"/>
      <c r="FT2111" s="44"/>
    </row>
    <row r="2112" spans="5:176" x14ac:dyDescent="0.2">
      <c r="E2112" s="70"/>
      <c r="FT2112" s="44"/>
    </row>
    <row r="2113" spans="5:176" x14ac:dyDescent="0.2">
      <c r="E2113" s="70"/>
      <c r="FT2113" s="44"/>
    </row>
    <row r="2114" spans="5:176" x14ac:dyDescent="0.2">
      <c r="E2114" s="70"/>
      <c r="FT2114" s="44"/>
    </row>
    <row r="2115" spans="5:176" x14ac:dyDescent="0.2">
      <c r="E2115" s="70"/>
      <c r="FT2115" s="44"/>
    </row>
    <row r="2116" spans="5:176" x14ac:dyDescent="0.2">
      <c r="E2116" s="70"/>
      <c r="FT2116" s="44"/>
    </row>
    <row r="2117" spans="5:176" x14ac:dyDescent="0.2">
      <c r="E2117" s="70"/>
      <c r="FT2117" s="44"/>
    </row>
    <row r="2118" spans="5:176" x14ac:dyDescent="0.2">
      <c r="E2118" s="70"/>
      <c r="FT2118" s="44"/>
    </row>
    <row r="2119" spans="5:176" x14ac:dyDescent="0.2">
      <c r="E2119" s="70"/>
      <c r="FT2119" s="44"/>
    </row>
    <row r="2120" spans="5:176" x14ac:dyDescent="0.2">
      <c r="E2120" s="70"/>
      <c r="FT2120" s="44"/>
    </row>
    <row r="2121" spans="5:176" x14ac:dyDescent="0.2">
      <c r="E2121" s="70"/>
      <c r="FT2121" s="44"/>
    </row>
    <row r="2122" spans="5:176" x14ac:dyDescent="0.2">
      <c r="E2122" s="70"/>
      <c r="FT2122" s="44"/>
    </row>
    <row r="2123" spans="5:176" x14ac:dyDescent="0.2">
      <c r="E2123" s="70"/>
      <c r="FT2123" s="44"/>
    </row>
    <row r="2124" spans="5:176" x14ac:dyDescent="0.2">
      <c r="E2124" s="70"/>
      <c r="FT2124" s="44"/>
    </row>
    <row r="2125" spans="5:176" x14ac:dyDescent="0.2">
      <c r="E2125" s="70"/>
      <c r="FT2125" s="44"/>
    </row>
    <row r="2126" spans="5:176" x14ac:dyDescent="0.2">
      <c r="E2126" s="70"/>
      <c r="FT2126" s="44"/>
    </row>
    <row r="2127" spans="5:176" x14ac:dyDescent="0.2">
      <c r="E2127" s="70"/>
      <c r="FT2127" s="44"/>
    </row>
    <row r="2128" spans="5:176" x14ac:dyDescent="0.2">
      <c r="E2128" s="70"/>
      <c r="FT2128" s="44"/>
    </row>
    <row r="2129" spans="5:176" x14ac:dyDescent="0.2">
      <c r="E2129" s="70"/>
      <c r="FT2129" s="44"/>
    </row>
    <row r="2130" spans="5:176" x14ac:dyDescent="0.2">
      <c r="E2130" s="70"/>
      <c r="FT2130" s="44"/>
    </row>
    <row r="2131" spans="5:176" x14ac:dyDescent="0.2">
      <c r="E2131" s="70"/>
      <c r="FT2131" s="44"/>
    </row>
    <row r="2132" spans="5:176" x14ac:dyDescent="0.2">
      <c r="E2132" s="70"/>
      <c r="FT2132" s="44"/>
    </row>
    <row r="2133" spans="5:176" x14ac:dyDescent="0.2">
      <c r="E2133" s="70"/>
      <c r="FT2133" s="44"/>
    </row>
    <row r="2134" spans="5:176" x14ac:dyDescent="0.2">
      <c r="E2134" s="70"/>
      <c r="FT2134" s="44"/>
    </row>
    <row r="2135" spans="5:176" x14ac:dyDescent="0.2">
      <c r="E2135" s="70"/>
      <c r="FT2135" s="44"/>
    </row>
    <row r="2136" spans="5:176" x14ac:dyDescent="0.2">
      <c r="E2136" s="70"/>
      <c r="FT2136" s="44"/>
    </row>
    <row r="2137" spans="5:176" x14ac:dyDescent="0.2">
      <c r="E2137" s="70"/>
      <c r="FT2137" s="44"/>
    </row>
    <row r="2138" spans="5:176" x14ac:dyDescent="0.2">
      <c r="E2138" s="70"/>
      <c r="FT2138" s="44"/>
    </row>
    <row r="2139" spans="5:176" x14ac:dyDescent="0.2">
      <c r="E2139" s="70"/>
      <c r="FT2139" s="44"/>
    </row>
    <row r="2140" spans="5:176" x14ac:dyDescent="0.2">
      <c r="E2140" s="70"/>
      <c r="FT2140" s="44"/>
    </row>
    <row r="2141" spans="5:176" x14ac:dyDescent="0.2">
      <c r="E2141" s="70"/>
      <c r="FT2141" s="44"/>
    </row>
    <row r="2142" spans="5:176" x14ac:dyDescent="0.2">
      <c r="E2142" s="70"/>
      <c r="FT2142" s="44"/>
    </row>
    <row r="2143" spans="5:176" x14ac:dyDescent="0.2">
      <c r="E2143" s="70"/>
      <c r="FT2143" s="44"/>
    </row>
    <row r="2144" spans="5:176" x14ac:dyDescent="0.2">
      <c r="E2144" s="70"/>
      <c r="FT2144" s="44"/>
    </row>
    <row r="2145" spans="5:176" x14ac:dyDescent="0.2">
      <c r="E2145" s="70"/>
      <c r="FT2145" s="44"/>
    </row>
    <row r="2146" spans="5:176" x14ac:dyDescent="0.2">
      <c r="E2146" s="70"/>
      <c r="FT2146" s="44"/>
    </row>
    <row r="2147" spans="5:176" x14ac:dyDescent="0.2">
      <c r="E2147" s="70"/>
      <c r="FT2147" s="44"/>
    </row>
    <row r="2148" spans="5:176" x14ac:dyDescent="0.2">
      <c r="E2148" s="70"/>
      <c r="FT2148" s="44"/>
    </row>
    <row r="2149" spans="5:176" x14ac:dyDescent="0.2">
      <c r="E2149" s="70"/>
      <c r="FT2149" s="44"/>
    </row>
    <row r="2150" spans="5:176" x14ac:dyDescent="0.2">
      <c r="E2150" s="70"/>
      <c r="FT2150" s="44"/>
    </row>
    <row r="2151" spans="5:176" x14ac:dyDescent="0.2">
      <c r="E2151" s="70"/>
      <c r="FT2151" s="44"/>
    </row>
    <row r="2152" spans="5:176" x14ac:dyDescent="0.2">
      <c r="E2152" s="70"/>
      <c r="FT2152" s="44"/>
    </row>
    <row r="2153" spans="5:176" x14ac:dyDescent="0.2">
      <c r="E2153" s="70"/>
      <c r="FT2153" s="44"/>
    </row>
    <row r="2154" spans="5:176" x14ac:dyDescent="0.2">
      <c r="E2154" s="70"/>
      <c r="FT2154" s="44"/>
    </row>
    <row r="2155" spans="5:176" x14ac:dyDescent="0.2">
      <c r="E2155" s="70"/>
      <c r="FT2155" s="44"/>
    </row>
    <row r="2156" spans="5:176" x14ac:dyDescent="0.2">
      <c r="E2156" s="70"/>
      <c r="FT2156" s="44"/>
    </row>
    <row r="2157" spans="5:176" x14ac:dyDescent="0.2">
      <c r="E2157" s="70"/>
      <c r="FT2157" s="44"/>
    </row>
    <row r="2158" spans="5:176" x14ac:dyDescent="0.2">
      <c r="E2158" s="70"/>
      <c r="FT2158" s="44"/>
    </row>
    <row r="2159" spans="5:176" x14ac:dyDescent="0.2">
      <c r="E2159" s="70"/>
      <c r="FT2159" s="44"/>
    </row>
    <row r="2160" spans="5:176" x14ac:dyDescent="0.2">
      <c r="E2160" s="70"/>
      <c r="FT2160" s="44"/>
    </row>
    <row r="2161" spans="5:176" x14ac:dyDescent="0.2">
      <c r="E2161" s="70"/>
      <c r="FT2161" s="44"/>
    </row>
    <row r="2162" spans="5:176" x14ac:dyDescent="0.2">
      <c r="E2162" s="70"/>
      <c r="FT2162" s="44"/>
    </row>
    <row r="2163" spans="5:176" x14ac:dyDescent="0.2">
      <c r="E2163" s="70"/>
      <c r="FT2163" s="44"/>
    </row>
    <row r="2164" spans="5:176" x14ac:dyDescent="0.2">
      <c r="E2164" s="70"/>
      <c r="FT2164" s="44"/>
    </row>
    <row r="2165" spans="5:176" x14ac:dyDescent="0.2">
      <c r="E2165" s="70"/>
      <c r="FT2165" s="44"/>
    </row>
    <row r="2166" spans="5:176" x14ac:dyDescent="0.2">
      <c r="E2166" s="70"/>
      <c r="FT2166" s="44"/>
    </row>
    <row r="2167" spans="5:176" x14ac:dyDescent="0.2">
      <c r="E2167" s="70"/>
      <c r="FT2167" s="44"/>
    </row>
    <row r="2168" spans="5:176" x14ac:dyDescent="0.2">
      <c r="E2168" s="70"/>
      <c r="FT2168" s="44"/>
    </row>
    <row r="2169" spans="5:176" x14ac:dyDescent="0.2">
      <c r="E2169" s="70"/>
      <c r="FT2169" s="44"/>
    </row>
    <row r="2170" spans="5:176" x14ac:dyDescent="0.2">
      <c r="E2170" s="70"/>
      <c r="FT2170" s="44"/>
    </row>
    <row r="2171" spans="5:176" x14ac:dyDescent="0.2">
      <c r="E2171" s="70"/>
      <c r="FT2171" s="44"/>
    </row>
    <row r="2172" spans="5:176" x14ac:dyDescent="0.2">
      <c r="E2172" s="70"/>
      <c r="FT2172" s="44"/>
    </row>
    <row r="2173" spans="5:176" x14ac:dyDescent="0.2">
      <c r="E2173" s="70"/>
      <c r="FT2173" s="44"/>
    </row>
    <row r="2174" spans="5:176" x14ac:dyDescent="0.2">
      <c r="E2174" s="70"/>
      <c r="FT2174" s="44"/>
    </row>
    <row r="2175" spans="5:176" x14ac:dyDescent="0.2">
      <c r="E2175" s="70"/>
      <c r="FT2175" s="44"/>
    </row>
    <row r="2176" spans="5:176" x14ac:dyDescent="0.2">
      <c r="E2176" s="70"/>
      <c r="FT2176" s="44"/>
    </row>
    <row r="2177" spans="5:176" x14ac:dyDescent="0.2">
      <c r="E2177" s="70"/>
      <c r="FT2177" s="44"/>
    </row>
    <row r="2178" spans="5:176" x14ac:dyDescent="0.2">
      <c r="E2178" s="70"/>
      <c r="FT2178" s="44"/>
    </row>
    <row r="2179" spans="5:176" x14ac:dyDescent="0.2">
      <c r="E2179" s="70"/>
      <c r="FT2179" s="44"/>
    </row>
    <row r="2180" spans="5:176" x14ac:dyDescent="0.2">
      <c r="E2180" s="70"/>
      <c r="FT2180" s="44"/>
    </row>
    <row r="2181" spans="5:176" x14ac:dyDescent="0.2">
      <c r="E2181" s="70"/>
      <c r="FT2181" s="44"/>
    </row>
    <row r="2182" spans="5:176" x14ac:dyDescent="0.2">
      <c r="E2182" s="70"/>
      <c r="FT2182" s="44"/>
    </row>
    <row r="2183" spans="5:176" x14ac:dyDescent="0.2">
      <c r="E2183" s="70"/>
      <c r="FT2183" s="44"/>
    </row>
    <row r="2184" spans="5:176" x14ac:dyDescent="0.2">
      <c r="E2184" s="70"/>
      <c r="FT2184" s="44"/>
    </row>
    <row r="2185" spans="5:176" x14ac:dyDescent="0.2">
      <c r="E2185" s="70"/>
      <c r="FT2185" s="44"/>
    </row>
    <row r="2186" spans="5:176" x14ac:dyDescent="0.2">
      <c r="E2186" s="70"/>
      <c r="FT2186" s="44"/>
    </row>
    <row r="2187" spans="5:176" x14ac:dyDescent="0.2">
      <c r="E2187" s="70"/>
      <c r="FT2187" s="44"/>
    </row>
    <row r="2188" spans="5:176" x14ac:dyDescent="0.2">
      <c r="E2188" s="70"/>
      <c r="FT2188" s="44"/>
    </row>
    <row r="2189" spans="5:176" x14ac:dyDescent="0.2">
      <c r="E2189" s="70"/>
      <c r="FT2189" s="44"/>
    </row>
    <row r="2190" spans="5:176" x14ac:dyDescent="0.2">
      <c r="E2190" s="70"/>
      <c r="FT2190" s="44"/>
    </row>
    <row r="2191" spans="5:176" x14ac:dyDescent="0.2">
      <c r="E2191" s="70"/>
      <c r="FT2191" s="44"/>
    </row>
    <row r="2192" spans="5:176" x14ac:dyDescent="0.2">
      <c r="E2192" s="70"/>
      <c r="FT2192" s="44"/>
    </row>
    <row r="2193" spans="5:176" x14ac:dyDescent="0.2">
      <c r="E2193" s="70"/>
      <c r="FT2193" s="44"/>
    </row>
    <row r="2194" spans="5:176" x14ac:dyDescent="0.2">
      <c r="E2194" s="70"/>
      <c r="FT2194" s="44"/>
    </row>
    <row r="2195" spans="5:176" x14ac:dyDescent="0.2">
      <c r="E2195" s="70"/>
      <c r="FT2195" s="44"/>
    </row>
    <row r="2196" spans="5:176" x14ac:dyDescent="0.2">
      <c r="E2196" s="70"/>
      <c r="FT2196" s="44"/>
    </row>
    <row r="2197" spans="5:176" x14ac:dyDescent="0.2">
      <c r="E2197" s="70"/>
      <c r="FT2197" s="44"/>
    </row>
    <row r="2198" spans="5:176" x14ac:dyDescent="0.2">
      <c r="E2198" s="70"/>
      <c r="FT2198" s="44"/>
    </row>
    <row r="2199" spans="5:176" x14ac:dyDescent="0.2">
      <c r="E2199" s="70"/>
      <c r="FT2199" s="44"/>
    </row>
    <row r="2200" spans="5:176" x14ac:dyDescent="0.2">
      <c r="E2200" s="70"/>
      <c r="FT2200" s="44"/>
    </row>
    <row r="2201" spans="5:176" x14ac:dyDescent="0.2">
      <c r="E2201" s="70"/>
      <c r="FT2201" s="44"/>
    </row>
    <row r="2202" spans="5:176" x14ac:dyDescent="0.2">
      <c r="E2202" s="70"/>
      <c r="FT2202" s="44"/>
    </row>
    <row r="2203" spans="5:176" x14ac:dyDescent="0.2">
      <c r="E2203" s="70"/>
      <c r="FT2203" s="44"/>
    </row>
    <row r="2204" spans="5:176" x14ac:dyDescent="0.2">
      <c r="E2204" s="70"/>
      <c r="FT2204" s="44"/>
    </row>
    <row r="2205" spans="5:176" x14ac:dyDescent="0.2">
      <c r="E2205" s="70"/>
      <c r="FT2205" s="44"/>
    </row>
    <row r="2206" spans="5:176" x14ac:dyDescent="0.2">
      <c r="E2206" s="70"/>
      <c r="FT2206" s="44"/>
    </row>
    <row r="2207" spans="5:176" x14ac:dyDescent="0.2">
      <c r="E2207" s="70"/>
      <c r="FT2207" s="44"/>
    </row>
    <row r="2208" spans="5:176" x14ac:dyDescent="0.2">
      <c r="E2208" s="70"/>
      <c r="FT2208" s="44"/>
    </row>
    <row r="2209" spans="5:176" x14ac:dyDescent="0.2">
      <c r="E2209" s="70"/>
      <c r="FT2209" s="44"/>
    </row>
    <row r="2210" spans="5:176" x14ac:dyDescent="0.2">
      <c r="E2210" s="70"/>
      <c r="FT2210" s="44"/>
    </row>
    <row r="2211" spans="5:176" x14ac:dyDescent="0.2">
      <c r="E2211" s="70"/>
      <c r="FT2211" s="44"/>
    </row>
    <row r="2212" spans="5:176" x14ac:dyDescent="0.2">
      <c r="E2212" s="70"/>
      <c r="FT2212" s="44"/>
    </row>
    <row r="2213" spans="5:176" x14ac:dyDescent="0.2">
      <c r="E2213" s="70"/>
      <c r="FT2213" s="44"/>
    </row>
    <row r="2214" spans="5:176" x14ac:dyDescent="0.2">
      <c r="E2214" s="70"/>
      <c r="FT2214" s="44"/>
    </row>
    <row r="2215" spans="5:176" x14ac:dyDescent="0.2">
      <c r="E2215" s="70"/>
      <c r="FT2215" s="44"/>
    </row>
    <row r="2216" spans="5:176" x14ac:dyDescent="0.2">
      <c r="E2216" s="70"/>
      <c r="FT2216" s="44"/>
    </row>
    <row r="2217" spans="5:176" x14ac:dyDescent="0.2">
      <c r="E2217" s="70"/>
      <c r="FT2217" s="44"/>
    </row>
    <row r="2218" spans="5:176" x14ac:dyDescent="0.2">
      <c r="E2218" s="70"/>
      <c r="FT2218" s="44"/>
    </row>
    <row r="2219" spans="5:176" x14ac:dyDescent="0.2">
      <c r="E2219" s="70"/>
      <c r="FT2219" s="44"/>
    </row>
    <row r="2220" spans="5:176" x14ac:dyDescent="0.2">
      <c r="E2220" s="70"/>
      <c r="FT2220" s="44"/>
    </row>
    <row r="2221" spans="5:176" x14ac:dyDescent="0.2">
      <c r="E2221" s="70"/>
      <c r="FT2221" s="44"/>
    </row>
    <row r="2222" spans="5:176" x14ac:dyDescent="0.2">
      <c r="E2222" s="70"/>
      <c r="FT2222" s="44"/>
    </row>
    <row r="2223" spans="5:176" x14ac:dyDescent="0.2">
      <c r="E2223" s="70"/>
      <c r="FT2223" s="44"/>
    </row>
    <row r="2224" spans="5:176" x14ac:dyDescent="0.2">
      <c r="E2224" s="70"/>
      <c r="FT2224" s="44"/>
    </row>
    <row r="2225" spans="5:176" x14ac:dyDescent="0.2">
      <c r="E2225" s="70"/>
      <c r="FT2225" s="44"/>
    </row>
    <row r="2226" spans="5:176" x14ac:dyDescent="0.2">
      <c r="E2226" s="70"/>
      <c r="FT2226" s="44"/>
    </row>
    <row r="2227" spans="5:176" x14ac:dyDescent="0.2">
      <c r="E2227" s="70"/>
      <c r="FT2227" s="44"/>
    </row>
    <row r="2228" spans="5:176" x14ac:dyDescent="0.2">
      <c r="E2228" s="70"/>
      <c r="FT2228" s="44"/>
    </row>
    <row r="2229" spans="5:176" x14ac:dyDescent="0.2">
      <c r="E2229" s="70"/>
      <c r="FT2229" s="44"/>
    </row>
    <row r="2230" spans="5:176" x14ac:dyDescent="0.2">
      <c r="E2230" s="70"/>
      <c r="FT2230" s="44"/>
    </row>
    <row r="2231" spans="5:176" x14ac:dyDescent="0.2">
      <c r="E2231" s="70"/>
      <c r="FT2231" s="44"/>
    </row>
    <row r="2232" spans="5:176" x14ac:dyDescent="0.2">
      <c r="E2232" s="70"/>
      <c r="FT2232" s="44"/>
    </row>
    <row r="2233" spans="5:176" x14ac:dyDescent="0.2">
      <c r="E2233" s="70"/>
      <c r="FT2233" s="44"/>
    </row>
    <row r="2234" spans="5:176" x14ac:dyDescent="0.2">
      <c r="E2234" s="70"/>
      <c r="FT2234" s="44"/>
    </row>
    <row r="2235" spans="5:176" x14ac:dyDescent="0.2">
      <c r="E2235" s="70"/>
      <c r="FT2235" s="44"/>
    </row>
    <row r="2236" spans="5:176" x14ac:dyDescent="0.2">
      <c r="E2236" s="70"/>
      <c r="FT2236" s="44"/>
    </row>
    <row r="2237" spans="5:176" x14ac:dyDescent="0.2">
      <c r="E2237" s="70"/>
      <c r="FT2237" s="44"/>
    </row>
    <row r="2238" spans="5:176" x14ac:dyDescent="0.2">
      <c r="E2238" s="70"/>
      <c r="FT2238" s="44"/>
    </row>
    <row r="2239" spans="5:176" x14ac:dyDescent="0.2">
      <c r="E2239" s="70"/>
      <c r="FT2239" s="44"/>
    </row>
    <row r="2240" spans="5:176" x14ac:dyDescent="0.2">
      <c r="E2240" s="70"/>
      <c r="FT2240" s="44"/>
    </row>
    <row r="2241" spans="5:176" x14ac:dyDescent="0.2">
      <c r="E2241" s="70"/>
      <c r="FT2241" s="44"/>
    </row>
    <row r="2242" spans="5:176" x14ac:dyDescent="0.2">
      <c r="E2242" s="70"/>
      <c r="FT2242" s="44"/>
    </row>
    <row r="2243" spans="5:176" x14ac:dyDescent="0.2">
      <c r="E2243" s="70"/>
      <c r="FT2243" s="44"/>
    </row>
    <row r="2244" spans="5:176" x14ac:dyDescent="0.2">
      <c r="E2244" s="70"/>
      <c r="FT2244" s="44"/>
    </row>
    <row r="2245" spans="5:176" x14ac:dyDescent="0.2">
      <c r="E2245" s="70"/>
      <c r="FT2245" s="44"/>
    </row>
    <row r="2246" spans="5:176" x14ac:dyDescent="0.2">
      <c r="E2246" s="70"/>
      <c r="FT2246" s="44"/>
    </row>
    <row r="2247" spans="5:176" x14ac:dyDescent="0.2">
      <c r="E2247" s="70"/>
      <c r="FT2247" s="44"/>
    </row>
    <row r="2248" spans="5:176" x14ac:dyDescent="0.2">
      <c r="E2248" s="70"/>
      <c r="FT2248" s="44"/>
    </row>
    <row r="2249" spans="5:176" x14ac:dyDescent="0.2">
      <c r="E2249" s="70"/>
      <c r="FT2249" s="44"/>
    </row>
    <row r="2250" spans="5:176" x14ac:dyDescent="0.2">
      <c r="E2250" s="70"/>
      <c r="FT2250" s="44"/>
    </row>
    <row r="2251" spans="5:176" x14ac:dyDescent="0.2">
      <c r="E2251" s="70"/>
      <c r="FT2251" s="44"/>
    </row>
    <row r="2252" spans="5:176" x14ac:dyDescent="0.2">
      <c r="E2252" s="70"/>
      <c r="FT2252" s="44"/>
    </row>
    <row r="2253" spans="5:176" x14ac:dyDescent="0.2">
      <c r="E2253" s="70"/>
      <c r="FT2253" s="44"/>
    </row>
    <row r="2254" spans="5:176" x14ac:dyDescent="0.2">
      <c r="E2254" s="70"/>
      <c r="FT2254" s="44"/>
    </row>
    <row r="2255" spans="5:176" x14ac:dyDescent="0.2">
      <c r="E2255" s="70"/>
      <c r="FT2255" s="44"/>
    </row>
    <row r="2256" spans="5:176" x14ac:dyDescent="0.2">
      <c r="E2256" s="70"/>
      <c r="FT2256" s="44"/>
    </row>
    <row r="2257" spans="5:176" x14ac:dyDescent="0.2">
      <c r="E2257" s="70"/>
      <c r="FT2257" s="44"/>
    </row>
    <row r="2258" spans="5:176" x14ac:dyDescent="0.2">
      <c r="E2258" s="70"/>
      <c r="FT2258" s="44"/>
    </row>
    <row r="2259" spans="5:176" x14ac:dyDescent="0.2">
      <c r="E2259" s="70"/>
      <c r="FT2259" s="44"/>
    </row>
    <row r="2260" spans="5:176" x14ac:dyDescent="0.2">
      <c r="E2260" s="70"/>
      <c r="FT2260" s="44"/>
    </row>
    <row r="2261" spans="5:176" x14ac:dyDescent="0.2">
      <c r="E2261" s="70"/>
      <c r="FT2261" s="44"/>
    </row>
    <row r="2262" spans="5:176" x14ac:dyDescent="0.2">
      <c r="E2262" s="70"/>
      <c r="FT2262" s="44"/>
    </row>
    <row r="2263" spans="5:176" x14ac:dyDescent="0.2">
      <c r="E2263" s="70"/>
      <c r="FT2263" s="44"/>
    </row>
    <row r="2264" spans="5:176" x14ac:dyDescent="0.2">
      <c r="E2264" s="70"/>
      <c r="FT2264" s="44"/>
    </row>
    <row r="2265" spans="5:176" x14ac:dyDescent="0.2">
      <c r="E2265" s="70"/>
      <c r="FT2265" s="44"/>
    </row>
    <row r="2266" spans="5:176" x14ac:dyDescent="0.2">
      <c r="E2266" s="70"/>
      <c r="FT2266" s="44"/>
    </row>
    <row r="2267" spans="5:176" x14ac:dyDescent="0.2">
      <c r="E2267" s="70"/>
      <c r="FT2267" s="44"/>
    </row>
    <row r="2268" spans="5:176" x14ac:dyDescent="0.2">
      <c r="E2268" s="70"/>
      <c r="FT2268" s="44"/>
    </row>
    <row r="2269" spans="5:176" x14ac:dyDescent="0.2">
      <c r="E2269" s="70"/>
      <c r="FT2269" s="44"/>
    </row>
    <row r="2270" spans="5:176" x14ac:dyDescent="0.2">
      <c r="E2270" s="70"/>
      <c r="FT2270" s="44"/>
    </row>
    <row r="2271" spans="5:176" x14ac:dyDescent="0.2">
      <c r="E2271" s="70"/>
      <c r="FT2271" s="44"/>
    </row>
    <row r="2272" spans="5:176" x14ac:dyDescent="0.2">
      <c r="E2272" s="70"/>
      <c r="FT2272" s="44"/>
    </row>
    <row r="2273" spans="5:176" x14ac:dyDescent="0.2">
      <c r="E2273" s="70"/>
      <c r="FT2273" s="44"/>
    </row>
    <row r="2274" spans="5:176" x14ac:dyDescent="0.2">
      <c r="E2274" s="70"/>
      <c r="FT2274" s="44"/>
    </row>
    <row r="2275" spans="5:176" x14ac:dyDescent="0.2">
      <c r="E2275" s="70"/>
      <c r="FT2275" s="44"/>
    </row>
    <row r="2276" spans="5:176" x14ac:dyDescent="0.2">
      <c r="E2276" s="70"/>
      <c r="FT2276" s="44"/>
    </row>
    <row r="2277" spans="5:176" x14ac:dyDescent="0.2">
      <c r="E2277" s="70"/>
      <c r="FT2277" s="44"/>
    </row>
    <row r="2278" spans="5:176" x14ac:dyDescent="0.2">
      <c r="E2278" s="70"/>
      <c r="FT2278" s="44"/>
    </row>
    <row r="2279" spans="5:176" x14ac:dyDescent="0.2">
      <c r="E2279" s="70"/>
      <c r="FT2279" s="44"/>
    </row>
    <row r="2280" spans="5:176" x14ac:dyDescent="0.2">
      <c r="E2280" s="70"/>
      <c r="FT2280" s="44"/>
    </row>
    <row r="2281" spans="5:176" x14ac:dyDescent="0.2">
      <c r="E2281" s="70"/>
      <c r="FT2281" s="44"/>
    </row>
    <row r="2282" spans="5:176" x14ac:dyDescent="0.2">
      <c r="E2282" s="70"/>
      <c r="FT2282" s="44"/>
    </row>
    <row r="2283" spans="5:176" x14ac:dyDescent="0.2">
      <c r="E2283" s="70"/>
      <c r="FT2283" s="44"/>
    </row>
    <row r="2284" spans="5:176" x14ac:dyDescent="0.2">
      <c r="E2284" s="70"/>
      <c r="FT2284" s="44"/>
    </row>
    <row r="2285" spans="5:176" x14ac:dyDescent="0.2">
      <c r="E2285" s="70"/>
      <c r="FT2285" s="44"/>
    </row>
    <row r="2286" spans="5:176" x14ac:dyDescent="0.2">
      <c r="E2286" s="70"/>
      <c r="FT2286" s="44"/>
    </row>
    <row r="2287" spans="5:176" x14ac:dyDescent="0.2">
      <c r="E2287" s="70"/>
      <c r="FT2287" s="44"/>
    </row>
    <row r="2288" spans="5:176" x14ac:dyDescent="0.2">
      <c r="E2288" s="70"/>
      <c r="FT2288" s="44"/>
    </row>
    <row r="2289" spans="5:176" x14ac:dyDescent="0.2">
      <c r="E2289" s="70"/>
      <c r="FT2289" s="44"/>
    </row>
    <row r="2290" spans="5:176" x14ac:dyDescent="0.2">
      <c r="E2290" s="70"/>
      <c r="FT2290" s="44"/>
    </row>
    <row r="2291" spans="5:176" x14ac:dyDescent="0.2">
      <c r="E2291" s="70"/>
      <c r="FT2291" s="44"/>
    </row>
    <row r="2292" spans="5:176" x14ac:dyDescent="0.2">
      <c r="E2292" s="70"/>
      <c r="FT2292" s="44"/>
    </row>
    <row r="2293" spans="5:176" x14ac:dyDescent="0.2">
      <c r="E2293" s="70"/>
      <c r="FT2293" s="44"/>
    </row>
    <row r="2294" spans="5:176" x14ac:dyDescent="0.2">
      <c r="E2294" s="70"/>
      <c r="FT2294" s="44"/>
    </row>
    <row r="2295" spans="5:176" x14ac:dyDescent="0.2">
      <c r="E2295" s="70"/>
      <c r="FT2295" s="44"/>
    </row>
    <row r="2296" spans="5:176" x14ac:dyDescent="0.2">
      <c r="E2296" s="70"/>
      <c r="FT2296" s="44"/>
    </row>
    <row r="2297" spans="5:176" x14ac:dyDescent="0.2">
      <c r="E2297" s="70"/>
      <c r="FT2297" s="44"/>
    </row>
    <row r="2298" spans="5:176" x14ac:dyDescent="0.2">
      <c r="E2298" s="70"/>
      <c r="FT2298" s="44"/>
    </row>
    <row r="2299" spans="5:176" x14ac:dyDescent="0.2">
      <c r="E2299" s="70"/>
      <c r="FT2299" s="44"/>
    </row>
    <row r="2300" spans="5:176" x14ac:dyDescent="0.2">
      <c r="E2300" s="70"/>
      <c r="FT2300" s="44"/>
    </row>
    <row r="2301" spans="5:176" x14ac:dyDescent="0.2">
      <c r="E2301" s="70"/>
      <c r="FT2301" s="44"/>
    </row>
    <row r="2302" spans="5:176" x14ac:dyDescent="0.2">
      <c r="E2302" s="70"/>
      <c r="FT2302" s="44"/>
    </row>
    <row r="2303" spans="5:176" x14ac:dyDescent="0.2">
      <c r="E2303" s="70"/>
      <c r="FT2303" s="44"/>
    </row>
    <row r="2304" spans="5:176" x14ac:dyDescent="0.2">
      <c r="E2304" s="70"/>
      <c r="FT2304" s="44"/>
    </row>
    <row r="2305" spans="5:176" x14ac:dyDescent="0.2">
      <c r="E2305" s="70"/>
      <c r="FT2305" s="44"/>
    </row>
    <row r="2306" spans="5:176" x14ac:dyDescent="0.2">
      <c r="E2306" s="70"/>
      <c r="FT2306" s="44"/>
    </row>
    <row r="2307" spans="5:176" x14ac:dyDescent="0.2">
      <c r="E2307" s="70"/>
      <c r="FT2307" s="44"/>
    </row>
    <row r="2308" spans="5:176" x14ac:dyDescent="0.2">
      <c r="E2308" s="70"/>
      <c r="FT2308" s="44"/>
    </row>
    <row r="2309" spans="5:176" x14ac:dyDescent="0.2">
      <c r="E2309" s="70"/>
      <c r="FT2309" s="44"/>
    </row>
    <row r="2310" spans="5:176" x14ac:dyDescent="0.2">
      <c r="E2310" s="70"/>
      <c r="FT2310" s="44"/>
    </row>
    <row r="2311" spans="5:176" x14ac:dyDescent="0.2">
      <c r="E2311" s="70"/>
      <c r="FT2311" s="44"/>
    </row>
    <row r="2312" spans="5:176" x14ac:dyDescent="0.2">
      <c r="E2312" s="70"/>
      <c r="FT2312" s="44"/>
    </row>
    <row r="2313" spans="5:176" x14ac:dyDescent="0.2">
      <c r="E2313" s="70"/>
      <c r="FT2313" s="44"/>
    </row>
    <row r="2314" spans="5:176" x14ac:dyDescent="0.2">
      <c r="E2314" s="70"/>
      <c r="FT2314" s="44"/>
    </row>
    <row r="2315" spans="5:176" x14ac:dyDescent="0.2">
      <c r="E2315" s="70"/>
      <c r="FT2315" s="44"/>
    </row>
    <row r="2316" spans="5:176" x14ac:dyDescent="0.2">
      <c r="E2316" s="70"/>
      <c r="FT2316" s="44"/>
    </row>
    <row r="2317" spans="5:176" x14ac:dyDescent="0.2">
      <c r="E2317" s="70"/>
      <c r="FT2317" s="44"/>
    </row>
    <row r="2318" spans="5:176" x14ac:dyDescent="0.2">
      <c r="E2318" s="70"/>
      <c r="FT2318" s="44"/>
    </row>
    <row r="2319" spans="5:176" x14ac:dyDescent="0.2">
      <c r="E2319" s="70"/>
      <c r="FT2319" s="44"/>
    </row>
    <row r="2320" spans="5:176" x14ac:dyDescent="0.2">
      <c r="E2320" s="70"/>
      <c r="FT2320" s="44"/>
    </row>
    <row r="2321" spans="5:176" x14ac:dyDescent="0.2">
      <c r="E2321" s="70"/>
      <c r="FT2321" s="44"/>
    </row>
    <row r="2322" spans="5:176" x14ac:dyDescent="0.2">
      <c r="E2322" s="70"/>
      <c r="FT2322" s="44"/>
    </row>
    <row r="2323" spans="5:176" x14ac:dyDescent="0.2">
      <c r="E2323" s="70"/>
      <c r="FT2323" s="44"/>
    </row>
    <row r="2324" spans="5:176" x14ac:dyDescent="0.2">
      <c r="E2324" s="70"/>
      <c r="FT2324" s="44"/>
    </row>
    <row r="2325" spans="5:176" x14ac:dyDescent="0.2">
      <c r="E2325" s="70"/>
      <c r="FT2325" s="44"/>
    </row>
    <row r="2326" spans="5:176" x14ac:dyDescent="0.2">
      <c r="E2326" s="70"/>
      <c r="FT2326" s="44"/>
    </row>
    <row r="2327" spans="5:176" x14ac:dyDescent="0.2">
      <c r="E2327" s="70"/>
      <c r="FT2327" s="44"/>
    </row>
    <row r="2328" spans="5:176" x14ac:dyDescent="0.2">
      <c r="E2328" s="70"/>
      <c r="FT2328" s="44"/>
    </row>
    <row r="2329" spans="5:176" x14ac:dyDescent="0.2">
      <c r="E2329" s="70"/>
      <c r="FT2329" s="44"/>
    </row>
    <row r="2330" spans="5:176" x14ac:dyDescent="0.2">
      <c r="E2330" s="70"/>
      <c r="FT2330" s="44"/>
    </row>
    <row r="2331" spans="5:176" x14ac:dyDescent="0.2">
      <c r="E2331" s="70"/>
      <c r="FT2331" s="44"/>
    </row>
    <row r="2332" spans="5:176" x14ac:dyDescent="0.2">
      <c r="E2332" s="70"/>
      <c r="FT2332" s="44"/>
    </row>
    <row r="2333" spans="5:176" x14ac:dyDescent="0.2">
      <c r="E2333" s="70"/>
      <c r="FT2333" s="44"/>
    </row>
    <row r="2334" spans="5:176" x14ac:dyDescent="0.2">
      <c r="E2334" s="70"/>
      <c r="FT2334" s="44"/>
    </row>
    <row r="2335" spans="5:176" x14ac:dyDescent="0.2">
      <c r="E2335" s="70"/>
      <c r="FT2335" s="44"/>
    </row>
    <row r="2336" spans="5:176" x14ac:dyDescent="0.2">
      <c r="E2336" s="70"/>
      <c r="FT2336" s="44"/>
    </row>
    <row r="2337" spans="5:176" x14ac:dyDescent="0.2">
      <c r="E2337" s="70"/>
      <c r="FT2337" s="44"/>
    </row>
    <row r="2338" spans="5:176" x14ac:dyDescent="0.2">
      <c r="E2338" s="70"/>
      <c r="FT2338" s="44"/>
    </row>
    <row r="2339" spans="5:176" x14ac:dyDescent="0.2">
      <c r="E2339" s="70"/>
      <c r="FT2339" s="44"/>
    </row>
    <row r="2340" spans="5:176" x14ac:dyDescent="0.2">
      <c r="E2340" s="70"/>
      <c r="FT2340" s="44"/>
    </row>
    <row r="2341" spans="5:176" x14ac:dyDescent="0.2">
      <c r="E2341" s="70"/>
      <c r="FT2341" s="44"/>
    </row>
    <row r="2342" spans="5:176" x14ac:dyDescent="0.2">
      <c r="E2342" s="70"/>
      <c r="FT2342" s="44"/>
    </row>
    <row r="2343" spans="5:176" x14ac:dyDescent="0.2">
      <c r="E2343" s="70"/>
      <c r="FT2343" s="44"/>
    </row>
    <row r="2344" spans="5:176" x14ac:dyDescent="0.2">
      <c r="E2344" s="70"/>
      <c r="FT2344" s="44"/>
    </row>
    <row r="2345" spans="5:176" x14ac:dyDescent="0.2">
      <c r="E2345" s="70"/>
      <c r="FT2345" s="44"/>
    </row>
    <row r="2346" spans="5:176" x14ac:dyDescent="0.2">
      <c r="E2346" s="70"/>
      <c r="FT2346" s="44"/>
    </row>
    <row r="2347" spans="5:176" x14ac:dyDescent="0.2">
      <c r="E2347" s="70"/>
      <c r="FT2347" s="44"/>
    </row>
    <row r="2348" spans="5:176" x14ac:dyDescent="0.2">
      <c r="E2348" s="70"/>
      <c r="FT2348" s="44"/>
    </row>
    <row r="2349" spans="5:176" x14ac:dyDescent="0.2">
      <c r="E2349" s="70"/>
      <c r="FT2349" s="44"/>
    </row>
    <row r="2350" spans="5:176" x14ac:dyDescent="0.2">
      <c r="E2350" s="70"/>
      <c r="FT2350" s="44"/>
    </row>
    <row r="2351" spans="5:176" x14ac:dyDescent="0.2">
      <c r="E2351" s="70"/>
      <c r="FT2351" s="44"/>
    </row>
    <row r="2352" spans="5:176" x14ac:dyDescent="0.2">
      <c r="E2352" s="70"/>
      <c r="FT2352" s="44"/>
    </row>
    <row r="2353" spans="5:176" x14ac:dyDescent="0.2">
      <c r="E2353" s="70"/>
      <c r="FT2353" s="44"/>
    </row>
    <row r="2354" spans="5:176" x14ac:dyDescent="0.2">
      <c r="E2354" s="70"/>
      <c r="FT2354" s="44"/>
    </row>
    <row r="2355" spans="5:176" x14ac:dyDescent="0.2">
      <c r="E2355" s="70"/>
      <c r="FT2355" s="44"/>
    </row>
    <row r="2356" spans="5:176" x14ac:dyDescent="0.2">
      <c r="E2356" s="70"/>
      <c r="FT2356" s="44"/>
    </row>
    <row r="2357" spans="5:176" x14ac:dyDescent="0.2">
      <c r="E2357" s="70"/>
      <c r="FT2357" s="44"/>
    </row>
    <row r="2358" spans="5:176" x14ac:dyDescent="0.2">
      <c r="E2358" s="70"/>
      <c r="FT2358" s="44"/>
    </row>
    <row r="2359" spans="5:176" x14ac:dyDescent="0.2">
      <c r="E2359" s="70"/>
      <c r="FT2359" s="44"/>
    </row>
    <row r="2360" spans="5:176" x14ac:dyDescent="0.2">
      <c r="E2360" s="70"/>
      <c r="FT2360" s="44"/>
    </row>
    <row r="2361" spans="5:176" x14ac:dyDescent="0.2">
      <c r="E2361" s="70"/>
      <c r="FT2361" s="44"/>
    </row>
    <row r="2362" spans="5:176" x14ac:dyDescent="0.2">
      <c r="E2362" s="70"/>
      <c r="FT2362" s="44"/>
    </row>
    <row r="2363" spans="5:176" x14ac:dyDescent="0.2">
      <c r="E2363" s="70"/>
      <c r="FT2363" s="44"/>
    </row>
    <row r="2364" spans="5:176" x14ac:dyDescent="0.2">
      <c r="E2364" s="70"/>
      <c r="FT2364" s="44"/>
    </row>
    <row r="2365" spans="5:176" x14ac:dyDescent="0.2">
      <c r="E2365" s="70"/>
      <c r="FT2365" s="44"/>
    </row>
    <row r="2366" spans="5:176" x14ac:dyDescent="0.2">
      <c r="E2366" s="70"/>
      <c r="FT2366" s="44"/>
    </row>
    <row r="2367" spans="5:176" x14ac:dyDescent="0.2">
      <c r="E2367" s="70"/>
      <c r="FT2367" s="44"/>
    </row>
    <row r="2368" spans="5:176" x14ac:dyDescent="0.2">
      <c r="E2368" s="70"/>
      <c r="FT2368" s="44"/>
    </row>
    <row r="2369" spans="5:176" x14ac:dyDescent="0.2">
      <c r="E2369" s="70"/>
      <c r="FT2369" s="44"/>
    </row>
    <row r="2370" spans="5:176" x14ac:dyDescent="0.2">
      <c r="E2370" s="70"/>
      <c r="FT2370" s="44"/>
    </row>
    <row r="2371" spans="5:176" x14ac:dyDescent="0.2">
      <c r="E2371" s="70"/>
      <c r="FT2371" s="44"/>
    </row>
    <row r="2372" spans="5:176" x14ac:dyDescent="0.2">
      <c r="E2372" s="70"/>
      <c r="FT2372" s="44"/>
    </row>
    <row r="2373" spans="5:176" x14ac:dyDescent="0.2">
      <c r="E2373" s="70"/>
      <c r="FT2373" s="44"/>
    </row>
    <row r="2374" spans="5:176" x14ac:dyDescent="0.2">
      <c r="E2374" s="70"/>
      <c r="FT2374" s="44"/>
    </row>
    <row r="2375" spans="5:176" x14ac:dyDescent="0.2">
      <c r="E2375" s="70"/>
      <c r="FT2375" s="44"/>
    </row>
    <row r="2376" spans="5:176" x14ac:dyDescent="0.2">
      <c r="E2376" s="70"/>
      <c r="FT2376" s="44"/>
    </row>
    <row r="2377" spans="5:176" x14ac:dyDescent="0.2">
      <c r="E2377" s="70"/>
      <c r="FT2377" s="44"/>
    </row>
    <row r="2378" spans="5:176" x14ac:dyDescent="0.2">
      <c r="E2378" s="70"/>
      <c r="FT2378" s="44"/>
    </row>
    <row r="2379" spans="5:176" x14ac:dyDescent="0.2">
      <c r="E2379" s="70"/>
      <c r="FT2379" s="44"/>
    </row>
    <row r="2380" spans="5:176" x14ac:dyDescent="0.2">
      <c r="E2380" s="70"/>
      <c r="FT2380" s="44"/>
    </row>
    <row r="2381" spans="5:176" x14ac:dyDescent="0.2">
      <c r="E2381" s="70"/>
      <c r="FT2381" s="44"/>
    </row>
    <row r="2382" spans="5:176" x14ac:dyDescent="0.2">
      <c r="E2382" s="70"/>
      <c r="FT2382" s="44"/>
    </row>
    <row r="2383" spans="5:176" x14ac:dyDescent="0.2">
      <c r="E2383" s="70"/>
      <c r="FT2383" s="44"/>
    </row>
    <row r="2384" spans="5:176" x14ac:dyDescent="0.2">
      <c r="E2384" s="70"/>
      <c r="FT2384" s="44"/>
    </row>
    <row r="2385" spans="5:176" x14ac:dyDescent="0.2">
      <c r="E2385" s="70"/>
      <c r="FT2385" s="44"/>
    </row>
    <row r="2386" spans="5:176" x14ac:dyDescent="0.2">
      <c r="E2386" s="70"/>
      <c r="FT2386" s="44"/>
    </row>
    <row r="2387" spans="5:176" x14ac:dyDescent="0.2">
      <c r="E2387" s="70"/>
      <c r="FT2387" s="44"/>
    </row>
    <row r="2388" spans="5:176" x14ac:dyDescent="0.2">
      <c r="E2388" s="70"/>
      <c r="FT2388" s="44"/>
    </row>
    <row r="2389" spans="5:176" x14ac:dyDescent="0.2">
      <c r="E2389" s="70"/>
      <c r="FT2389" s="44"/>
    </row>
    <row r="2390" spans="5:176" x14ac:dyDescent="0.2">
      <c r="E2390" s="70"/>
      <c r="FT2390" s="44"/>
    </row>
    <row r="2391" spans="5:176" x14ac:dyDescent="0.2">
      <c r="E2391" s="70"/>
      <c r="FT2391" s="44"/>
    </row>
    <row r="2392" spans="5:176" x14ac:dyDescent="0.2">
      <c r="E2392" s="70"/>
      <c r="FT2392" s="44"/>
    </row>
    <row r="2393" spans="5:176" x14ac:dyDescent="0.2">
      <c r="E2393" s="70"/>
      <c r="FT2393" s="44"/>
    </row>
    <row r="2394" spans="5:176" x14ac:dyDescent="0.2">
      <c r="E2394" s="70"/>
      <c r="FT2394" s="44"/>
    </row>
    <row r="2395" spans="5:176" x14ac:dyDescent="0.2">
      <c r="E2395" s="70"/>
      <c r="FT2395" s="44"/>
    </row>
    <row r="2396" spans="5:176" x14ac:dyDescent="0.2">
      <c r="E2396" s="70"/>
      <c r="FT2396" s="44"/>
    </row>
    <row r="2397" spans="5:176" x14ac:dyDescent="0.2">
      <c r="E2397" s="70"/>
      <c r="FT2397" s="44"/>
    </row>
    <row r="2398" spans="5:176" x14ac:dyDescent="0.2">
      <c r="E2398" s="70"/>
      <c r="FT2398" s="44"/>
    </row>
    <row r="2399" spans="5:176" x14ac:dyDescent="0.2">
      <c r="E2399" s="70"/>
      <c r="FT2399" s="44"/>
    </row>
    <row r="2400" spans="5:176" x14ac:dyDescent="0.2">
      <c r="E2400" s="70"/>
      <c r="FT2400" s="44"/>
    </row>
    <row r="2401" spans="5:176" x14ac:dyDescent="0.2">
      <c r="E2401" s="70"/>
      <c r="FT2401" s="44"/>
    </row>
    <row r="2402" spans="5:176" x14ac:dyDescent="0.2">
      <c r="E2402" s="70"/>
      <c r="FT2402" s="44"/>
    </row>
    <row r="2403" spans="5:176" x14ac:dyDescent="0.2">
      <c r="E2403" s="70"/>
      <c r="FT2403" s="44"/>
    </row>
    <row r="2404" spans="5:176" x14ac:dyDescent="0.2">
      <c r="E2404" s="70"/>
      <c r="FT2404" s="44"/>
    </row>
    <row r="2405" spans="5:176" x14ac:dyDescent="0.2">
      <c r="E2405" s="70"/>
      <c r="FT2405" s="44"/>
    </row>
    <row r="2406" spans="5:176" x14ac:dyDescent="0.2">
      <c r="E2406" s="70"/>
      <c r="FT2406" s="44"/>
    </row>
    <row r="2407" spans="5:176" x14ac:dyDescent="0.2">
      <c r="E2407" s="70"/>
      <c r="FT2407" s="44"/>
    </row>
    <row r="2408" spans="5:176" x14ac:dyDescent="0.2">
      <c r="E2408" s="70"/>
      <c r="FT2408" s="44"/>
    </row>
    <row r="2409" spans="5:176" x14ac:dyDescent="0.2">
      <c r="E2409" s="70"/>
      <c r="FT2409" s="44"/>
    </row>
    <row r="2410" spans="5:176" x14ac:dyDescent="0.2">
      <c r="E2410" s="70"/>
      <c r="FT2410" s="44"/>
    </row>
    <row r="2411" spans="5:176" x14ac:dyDescent="0.2">
      <c r="E2411" s="70"/>
      <c r="FT2411" s="44"/>
    </row>
    <row r="2412" spans="5:176" x14ac:dyDescent="0.2">
      <c r="E2412" s="70"/>
      <c r="FT2412" s="44"/>
    </row>
    <row r="2413" spans="5:176" x14ac:dyDescent="0.2">
      <c r="E2413" s="70"/>
      <c r="FT2413" s="44"/>
    </row>
    <row r="2414" spans="5:176" x14ac:dyDescent="0.2">
      <c r="E2414" s="70"/>
      <c r="FT2414" s="44"/>
    </row>
    <row r="2415" spans="5:176" x14ac:dyDescent="0.2">
      <c r="E2415" s="70"/>
      <c r="FT2415" s="44"/>
    </row>
    <row r="2416" spans="5:176" x14ac:dyDescent="0.2">
      <c r="E2416" s="70"/>
      <c r="FT2416" s="44"/>
    </row>
    <row r="2417" spans="5:176" x14ac:dyDescent="0.2">
      <c r="E2417" s="70"/>
      <c r="FT2417" s="44"/>
    </row>
    <row r="2418" spans="5:176" x14ac:dyDescent="0.2">
      <c r="E2418" s="70"/>
      <c r="FT2418" s="44"/>
    </row>
    <row r="2419" spans="5:176" x14ac:dyDescent="0.2">
      <c r="E2419" s="70"/>
      <c r="FT2419" s="44"/>
    </row>
    <row r="2420" spans="5:176" x14ac:dyDescent="0.2">
      <c r="E2420" s="70"/>
      <c r="FT2420" s="44"/>
    </row>
    <row r="2421" spans="5:176" x14ac:dyDescent="0.2">
      <c r="E2421" s="70"/>
      <c r="FT2421" s="44"/>
    </row>
    <row r="2422" spans="5:176" x14ac:dyDescent="0.2">
      <c r="E2422" s="70"/>
      <c r="FT2422" s="44"/>
    </row>
    <row r="2423" spans="5:176" x14ac:dyDescent="0.2">
      <c r="E2423" s="70"/>
      <c r="FT2423" s="44"/>
    </row>
    <row r="2424" spans="5:176" x14ac:dyDescent="0.2">
      <c r="E2424" s="70"/>
      <c r="FT2424" s="44"/>
    </row>
    <row r="2425" spans="5:176" x14ac:dyDescent="0.2">
      <c r="E2425" s="70"/>
      <c r="FT2425" s="44"/>
    </row>
    <row r="2426" spans="5:176" x14ac:dyDescent="0.2">
      <c r="E2426" s="70"/>
      <c r="FT2426" s="44"/>
    </row>
    <row r="2427" spans="5:176" x14ac:dyDescent="0.2">
      <c r="E2427" s="70"/>
      <c r="FT2427" s="44"/>
    </row>
    <row r="2428" spans="5:176" x14ac:dyDescent="0.2">
      <c r="E2428" s="70"/>
      <c r="FT2428" s="44"/>
    </row>
    <row r="2429" spans="5:176" x14ac:dyDescent="0.2">
      <c r="E2429" s="70"/>
      <c r="FT2429" s="44"/>
    </row>
    <row r="2430" spans="5:176" x14ac:dyDescent="0.2">
      <c r="E2430" s="70"/>
      <c r="FT2430" s="44"/>
    </row>
    <row r="2431" spans="5:176" x14ac:dyDescent="0.2">
      <c r="E2431" s="70"/>
      <c r="FT2431" s="44"/>
    </row>
    <row r="2432" spans="5:176" x14ac:dyDescent="0.2">
      <c r="E2432" s="70"/>
      <c r="FT2432" s="44"/>
    </row>
    <row r="2433" spans="5:176" x14ac:dyDescent="0.2">
      <c r="E2433" s="70"/>
      <c r="FT2433" s="44"/>
    </row>
    <row r="2434" spans="5:176" x14ac:dyDescent="0.2">
      <c r="E2434" s="70"/>
      <c r="FT2434" s="44"/>
    </row>
    <row r="2435" spans="5:176" x14ac:dyDescent="0.2">
      <c r="E2435" s="70"/>
      <c r="FT2435" s="44"/>
    </row>
    <row r="2436" spans="5:176" x14ac:dyDescent="0.2">
      <c r="E2436" s="70"/>
      <c r="FT2436" s="44"/>
    </row>
    <row r="2437" spans="5:176" x14ac:dyDescent="0.2">
      <c r="E2437" s="70"/>
      <c r="FT2437" s="44"/>
    </row>
    <row r="2438" spans="5:176" x14ac:dyDescent="0.2">
      <c r="E2438" s="70"/>
      <c r="FT2438" s="44"/>
    </row>
    <row r="2439" spans="5:176" x14ac:dyDescent="0.2">
      <c r="E2439" s="70"/>
      <c r="FT2439" s="44"/>
    </row>
    <row r="2440" spans="5:176" x14ac:dyDescent="0.2">
      <c r="E2440" s="70"/>
      <c r="FT2440" s="44"/>
    </row>
    <row r="2441" spans="5:176" x14ac:dyDescent="0.2">
      <c r="E2441" s="70"/>
      <c r="FT2441" s="44"/>
    </row>
    <row r="2442" spans="5:176" x14ac:dyDescent="0.2">
      <c r="E2442" s="70"/>
      <c r="FT2442" s="44"/>
    </row>
    <row r="2443" spans="5:176" x14ac:dyDescent="0.2">
      <c r="E2443" s="70"/>
      <c r="FT2443" s="44"/>
    </row>
    <row r="2444" spans="5:176" x14ac:dyDescent="0.2">
      <c r="E2444" s="70"/>
      <c r="FT2444" s="44"/>
    </row>
    <row r="2445" spans="5:176" x14ac:dyDescent="0.2">
      <c r="E2445" s="70"/>
      <c r="FT2445" s="44"/>
    </row>
    <row r="2446" spans="5:176" x14ac:dyDescent="0.2">
      <c r="E2446" s="70"/>
      <c r="FT2446" s="44"/>
    </row>
    <row r="2447" spans="5:176" x14ac:dyDescent="0.2">
      <c r="E2447" s="70"/>
      <c r="FT2447" s="44"/>
    </row>
    <row r="2448" spans="5:176" x14ac:dyDescent="0.2">
      <c r="E2448" s="70"/>
      <c r="FT2448" s="44"/>
    </row>
    <row r="2449" spans="5:176" x14ac:dyDescent="0.2">
      <c r="E2449" s="70"/>
      <c r="FT2449" s="44"/>
    </row>
    <row r="2450" spans="5:176" x14ac:dyDescent="0.2">
      <c r="E2450" s="70"/>
      <c r="FT2450" s="44"/>
    </row>
    <row r="2451" spans="5:176" x14ac:dyDescent="0.2">
      <c r="E2451" s="70"/>
      <c r="FT2451" s="44"/>
    </row>
    <row r="2452" spans="5:176" x14ac:dyDescent="0.2">
      <c r="E2452" s="70"/>
      <c r="FT2452" s="44"/>
    </row>
    <row r="2453" spans="5:176" x14ac:dyDescent="0.2">
      <c r="E2453" s="70"/>
      <c r="FT2453" s="44"/>
    </row>
    <row r="2454" spans="5:176" x14ac:dyDescent="0.2">
      <c r="E2454" s="70"/>
      <c r="FT2454" s="44"/>
    </row>
    <row r="2455" spans="5:176" x14ac:dyDescent="0.2">
      <c r="E2455" s="70"/>
      <c r="FT2455" s="44"/>
    </row>
    <row r="2456" spans="5:176" x14ac:dyDescent="0.2">
      <c r="E2456" s="70"/>
      <c r="FT2456" s="44"/>
    </row>
    <row r="2457" spans="5:176" x14ac:dyDescent="0.2">
      <c r="E2457" s="70"/>
      <c r="FT2457" s="44"/>
    </row>
    <row r="2458" spans="5:176" x14ac:dyDescent="0.2">
      <c r="E2458" s="70"/>
      <c r="FT2458" s="44"/>
    </row>
    <row r="2459" spans="5:176" x14ac:dyDescent="0.2">
      <c r="E2459" s="70"/>
      <c r="FT2459" s="44"/>
    </row>
    <row r="2460" spans="5:176" x14ac:dyDescent="0.2">
      <c r="E2460" s="70"/>
      <c r="FT2460" s="44"/>
    </row>
    <row r="2461" spans="5:176" x14ac:dyDescent="0.2">
      <c r="E2461" s="70"/>
      <c r="FT2461" s="44"/>
    </row>
    <row r="2462" spans="5:176" x14ac:dyDescent="0.2">
      <c r="E2462" s="70"/>
      <c r="FT2462" s="44"/>
    </row>
    <row r="2463" spans="5:176" x14ac:dyDescent="0.2">
      <c r="E2463" s="70"/>
      <c r="FT2463" s="44"/>
    </row>
    <row r="2464" spans="5:176" x14ac:dyDescent="0.2">
      <c r="E2464" s="70"/>
      <c r="FT2464" s="44"/>
    </row>
    <row r="2465" spans="5:176" x14ac:dyDescent="0.2">
      <c r="E2465" s="70"/>
      <c r="FT2465" s="44"/>
    </row>
    <row r="2466" spans="5:176" x14ac:dyDescent="0.2">
      <c r="E2466" s="70"/>
      <c r="FT2466" s="44"/>
    </row>
    <row r="2467" spans="5:176" x14ac:dyDescent="0.2">
      <c r="E2467" s="70"/>
      <c r="FT2467" s="44"/>
    </row>
    <row r="2468" spans="5:176" x14ac:dyDescent="0.2">
      <c r="E2468" s="70"/>
      <c r="FT2468" s="44"/>
    </row>
    <row r="2469" spans="5:176" x14ac:dyDescent="0.2">
      <c r="E2469" s="70"/>
      <c r="FT2469" s="44"/>
    </row>
    <row r="2470" spans="5:176" x14ac:dyDescent="0.2">
      <c r="E2470" s="70"/>
      <c r="FT2470" s="44"/>
    </row>
    <row r="2471" spans="5:176" x14ac:dyDescent="0.2">
      <c r="E2471" s="70"/>
      <c r="FT2471" s="44"/>
    </row>
    <row r="2472" spans="5:176" x14ac:dyDescent="0.2">
      <c r="E2472" s="70"/>
      <c r="FT2472" s="44"/>
    </row>
    <row r="2473" spans="5:176" x14ac:dyDescent="0.2">
      <c r="E2473" s="70"/>
      <c r="FT2473" s="44"/>
    </row>
    <row r="2474" spans="5:176" x14ac:dyDescent="0.2">
      <c r="E2474" s="70"/>
      <c r="FT2474" s="44"/>
    </row>
    <row r="2475" spans="5:176" x14ac:dyDescent="0.2">
      <c r="E2475" s="70"/>
      <c r="FT2475" s="44"/>
    </row>
    <row r="2476" spans="5:176" x14ac:dyDescent="0.2">
      <c r="E2476" s="70"/>
      <c r="FT2476" s="44"/>
    </row>
    <row r="2477" spans="5:176" x14ac:dyDescent="0.2">
      <c r="E2477" s="70"/>
      <c r="FT2477" s="44"/>
    </row>
    <row r="2478" spans="5:176" x14ac:dyDescent="0.2">
      <c r="E2478" s="70"/>
      <c r="FT2478" s="44"/>
    </row>
    <row r="2479" spans="5:176" x14ac:dyDescent="0.2">
      <c r="E2479" s="70"/>
      <c r="FT2479" s="44"/>
    </row>
    <row r="2480" spans="5:176" x14ac:dyDescent="0.2">
      <c r="E2480" s="70"/>
      <c r="FT2480" s="44"/>
    </row>
    <row r="2481" spans="5:176" x14ac:dyDescent="0.2">
      <c r="E2481" s="70"/>
      <c r="FT2481" s="44"/>
    </row>
    <row r="2482" spans="5:176" x14ac:dyDescent="0.2">
      <c r="E2482" s="70"/>
      <c r="FT2482" s="44"/>
    </row>
    <row r="2483" spans="5:176" x14ac:dyDescent="0.2">
      <c r="E2483" s="70"/>
      <c r="FT2483" s="44"/>
    </row>
    <row r="2484" spans="5:176" x14ac:dyDescent="0.2">
      <c r="E2484" s="70"/>
      <c r="FT2484" s="44"/>
    </row>
    <row r="2485" spans="5:176" x14ac:dyDescent="0.2">
      <c r="E2485" s="70"/>
      <c r="FT2485" s="44"/>
    </row>
    <row r="2486" spans="5:176" x14ac:dyDescent="0.2">
      <c r="E2486" s="70"/>
      <c r="FT2486" s="44"/>
    </row>
    <row r="2487" spans="5:176" x14ac:dyDescent="0.2">
      <c r="E2487" s="70"/>
      <c r="FT2487" s="44"/>
    </row>
    <row r="2488" spans="5:176" x14ac:dyDescent="0.2">
      <c r="E2488" s="70"/>
      <c r="FT2488" s="44"/>
    </row>
    <row r="2489" spans="5:176" x14ac:dyDescent="0.2">
      <c r="E2489" s="70"/>
      <c r="FT2489" s="44"/>
    </row>
    <row r="2490" spans="5:176" x14ac:dyDescent="0.2">
      <c r="E2490" s="70"/>
      <c r="FT2490" s="44"/>
    </row>
    <row r="2491" spans="5:176" x14ac:dyDescent="0.2">
      <c r="E2491" s="70"/>
      <c r="FT2491" s="44"/>
    </row>
    <row r="2492" spans="5:176" x14ac:dyDescent="0.2">
      <c r="E2492" s="70"/>
      <c r="FT2492" s="44"/>
    </row>
    <row r="2493" spans="5:176" x14ac:dyDescent="0.2">
      <c r="E2493" s="70"/>
      <c r="FT2493" s="44"/>
    </row>
    <row r="2494" spans="5:176" x14ac:dyDescent="0.2">
      <c r="E2494" s="70"/>
      <c r="FT2494" s="44"/>
    </row>
    <row r="2495" spans="5:176" x14ac:dyDescent="0.2">
      <c r="E2495" s="70"/>
      <c r="FT2495" s="44"/>
    </row>
    <row r="2496" spans="5:176" x14ac:dyDescent="0.2">
      <c r="E2496" s="70"/>
      <c r="FT2496" s="44"/>
    </row>
    <row r="2497" spans="5:176" x14ac:dyDescent="0.2">
      <c r="E2497" s="70"/>
      <c r="FT2497" s="44"/>
    </row>
    <row r="2498" spans="5:176" x14ac:dyDescent="0.2">
      <c r="E2498" s="70"/>
      <c r="FT2498" s="44"/>
    </row>
    <row r="2499" spans="5:176" x14ac:dyDescent="0.2">
      <c r="E2499" s="70"/>
      <c r="FT2499" s="44"/>
    </row>
    <row r="2500" spans="5:176" x14ac:dyDescent="0.2">
      <c r="E2500" s="70"/>
      <c r="FT2500" s="44"/>
    </row>
    <row r="2501" spans="5:176" x14ac:dyDescent="0.2">
      <c r="E2501" s="70"/>
      <c r="FT2501" s="44"/>
    </row>
    <row r="2502" spans="5:176" x14ac:dyDescent="0.2">
      <c r="E2502" s="70"/>
      <c r="FT2502" s="44"/>
    </row>
    <row r="2503" spans="5:176" x14ac:dyDescent="0.2">
      <c r="E2503" s="70"/>
      <c r="FT2503" s="44"/>
    </row>
    <row r="2504" spans="5:176" x14ac:dyDescent="0.2">
      <c r="E2504" s="70"/>
      <c r="FT2504" s="44"/>
    </row>
    <row r="2505" spans="5:176" x14ac:dyDescent="0.2">
      <c r="E2505" s="70"/>
      <c r="FT2505" s="44"/>
    </row>
    <row r="2506" spans="5:176" x14ac:dyDescent="0.2">
      <c r="E2506" s="70"/>
      <c r="FT2506" s="44"/>
    </row>
    <row r="2507" spans="5:176" x14ac:dyDescent="0.2">
      <c r="E2507" s="70"/>
      <c r="FT2507" s="44"/>
    </row>
    <row r="2508" spans="5:176" x14ac:dyDescent="0.2">
      <c r="E2508" s="70"/>
      <c r="FT2508" s="44"/>
    </row>
    <row r="2509" spans="5:176" x14ac:dyDescent="0.2">
      <c r="E2509" s="70"/>
      <c r="FT2509" s="44"/>
    </row>
    <row r="2510" spans="5:176" x14ac:dyDescent="0.2">
      <c r="E2510" s="70"/>
      <c r="FT2510" s="44"/>
    </row>
    <row r="2511" spans="5:176" x14ac:dyDescent="0.2">
      <c r="E2511" s="70"/>
      <c r="FT2511" s="44"/>
    </row>
    <row r="2512" spans="5:176" x14ac:dyDescent="0.2">
      <c r="E2512" s="70"/>
      <c r="FT2512" s="44"/>
    </row>
    <row r="2513" spans="5:176" x14ac:dyDescent="0.2">
      <c r="E2513" s="70"/>
      <c r="FT2513" s="44"/>
    </row>
    <row r="2514" spans="5:176" x14ac:dyDescent="0.2">
      <c r="E2514" s="70"/>
      <c r="FT2514" s="44"/>
    </row>
    <row r="2515" spans="5:176" x14ac:dyDescent="0.2">
      <c r="E2515" s="70"/>
      <c r="FT2515" s="44"/>
    </row>
    <row r="2516" spans="5:176" x14ac:dyDescent="0.2">
      <c r="E2516" s="70"/>
      <c r="FT2516" s="44"/>
    </row>
    <row r="2517" spans="5:176" x14ac:dyDescent="0.2">
      <c r="E2517" s="70"/>
      <c r="FT2517" s="44"/>
    </row>
    <row r="2518" spans="5:176" x14ac:dyDescent="0.2">
      <c r="E2518" s="70"/>
      <c r="FT2518" s="44"/>
    </row>
    <row r="2519" spans="5:176" x14ac:dyDescent="0.2">
      <c r="E2519" s="70"/>
      <c r="FT2519" s="44"/>
    </row>
    <row r="2520" spans="5:176" x14ac:dyDescent="0.2">
      <c r="E2520" s="70"/>
      <c r="FT2520" s="44"/>
    </row>
    <row r="2521" spans="5:176" x14ac:dyDescent="0.2">
      <c r="E2521" s="70"/>
      <c r="FT2521" s="44"/>
    </row>
    <row r="2522" spans="5:176" x14ac:dyDescent="0.2">
      <c r="E2522" s="70"/>
      <c r="FT2522" s="44"/>
    </row>
    <row r="2523" spans="5:176" x14ac:dyDescent="0.2">
      <c r="E2523" s="70"/>
      <c r="FT2523" s="44"/>
    </row>
    <row r="2524" spans="5:176" x14ac:dyDescent="0.2">
      <c r="E2524" s="70"/>
      <c r="FT2524" s="44"/>
    </row>
    <row r="2525" spans="5:176" x14ac:dyDescent="0.2">
      <c r="E2525" s="70"/>
      <c r="FT2525" s="44"/>
    </row>
    <row r="2526" spans="5:176" x14ac:dyDescent="0.2">
      <c r="E2526" s="70"/>
      <c r="FT2526" s="44"/>
    </row>
    <row r="2527" spans="5:176" x14ac:dyDescent="0.2">
      <c r="E2527" s="70"/>
      <c r="FT2527" s="44"/>
    </row>
    <row r="2528" spans="5:176" x14ac:dyDescent="0.2">
      <c r="E2528" s="70"/>
      <c r="FT2528" s="44"/>
    </row>
    <row r="2529" spans="5:176" x14ac:dyDescent="0.2">
      <c r="E2529" s="70"/>
      <c r="FT2529" s="44"/>
    </row>
    <row r="2530" spans="5:176" x14ac:dyDescent="0.2">
      <c r="E2530" s="70"/>
      <c r="FT2530" s="44"/>
    </row>
    <row r="2531" spans="5:176" x14ac:dyDescent="0.2">
      <c r="E2531" s="70"/>
      <c r="FT2531" s="44"/>
    </row>
    <row r="2532" spans="5:176" x14ac:dyDescent="0.2">
      <c r="E2532" s="70"/>
      <c r="FT2532" s="44"/>
    </row>
    <row r="2533" spans="5:176" x14ac:dyDescent="0.2">
      <c r="E2533" s="70"/>
      <c r="FT2533" s="44"/>
    </row>
    <row r="2534" spans="5:176" x14ac:dyDescent="0.2">
      <c r="E2534" s="70"/>
      <c r="FT2534" s="44"/>
    </row>
    <row r="2535" spans="5:176" x14ac:dyDescent="0.2">
      <c r="E2535" s="70"/>
      <c r="FT2535" s="44"/>
    </row>
    <row r="2536" spans="5:176" x14ac:dyDescent="0.2">
      <c r="E2536" s="70"/>
      <c r="FT2536" s="44"/>
    </row>
    <row r="2537" spans="5:176" x14ac:dyDescent="0.2">
      <c r="E2537" s="70"/>
      <c r="FT2537" s="44"/>
    </row>
    <row r="2538" spans="5:176" x14ac:dyDescent="0.2">
      <c r="E2538" s="70"/>
      <c r="FT2538" s="44"/>
    </row>
    <row r="2539" spans="5:176" x14ac:dyDescent="0.2">
      <c r="E2539" s="70"/>
      <c r="FT2539" s="44"/>
    </row>
    <row r="2540" spans="5:176" x14ac:dyDescent="0.2">
      <c r="E2540" s="70"/>
      <c r="FT2540" s="44"/>
    </row>
    <row r="2541" spans="5:176" x14ac:dyDescent="0.2">
      <c r="E2541" s="70"/>
      <c r="FT2541" s="44"/>
    </row>
    <row r="2542" spans="5:176" x14ac:dyDescent="0.2">
      <c r="E2542" s="70"/>
      <c r="FT2542" s="44"/>
    </row>
    <row r="2543" spans="5:176" x14ac:dyDescent="0.2">
      <c r="E2543" s="70"/>
      <c r="FT2543" s="44"/>
    </row>
    <row r="2544" spans="5:176" x14ac:dyDescent="0.2">
      <c r="E2544" s="70"/>
      <c r="FT2544" s="44"/>
    </row>
    <row r="2545" spans="5:176" x14ac:dyDescent="0.2">
      <c r="E2545" s="70"/>
      <c r="FT2545" s="44"/>
    </row>
    <row r="2546" spans="5:176" x14ac:dyDescent="0.2">
      <c r="E2546" s="70"/>
      <c r="FT2546" s="44"/>
    </row>
    <row r="2547" spans="5:176" x14ac:dyDescent="0.2">
      <c r="E2547" s="70"/>
      <c r="FT2547" s="44"/>
    </row>
    <row r="2548" spans="5:176" x14ac:dyDescent="0.2">
      <c r="E2548" s="70"/>
      <c r="FT2548" s="44"/>
    </row>
    <row r="2549" spans="5:176" x14ac:dyDescent="0.2">
      <c r="E2549" s="70"/>
      <c r="FT2549" s="44"/>
    </row>
    <row r="2550" spans="5:176" x14ac:dyDescent="0.2">
      <c r="E2550" s="70"/>
      <c r="FT2550" s="44"/>
    </row>
    <row r="2551" spans="5:176" x14ac:dyDescent="0.2">
      <c r="E2551" s="70"/>
      <c r="FT2551" s="44"/>
    </row>
    <row r="2552" spans="5:176" x14ac:dyDescent="0.2">
      <c r="E2552" s="70"/>
      <c r="FT2552" s="44"/>
    </row>
    <row r="2553" spans="5:176" x14ac:dyDescent="0.2">
      <c r="E2553" s="70"/>
      <c r="FT2553" s="44"/>
    </row>
    <row r="2554" spans="5:176" x14ac:dyDescent="0.2">
      <c r="E2554" s="70"/>
      <c r="FT2554" s="44"/>
    </row>
    <row r="2555" spans="5:176" x14ac:dyDescent="0.2">
      <c r="E2555" s="70"/>
      <c r="FT2555" s="44"/>
    </row>
    <row r="2556" spans="5:176" x14ac:dyDescent="0.2">
      <c r="E2556" s="70"/>
      <c r="FT2556" s="44"/>
    </row>
    <row r="2557" spans="5:176" x14ac:dyDescent="0.2">
      <c r="E2557" s="70"/>
      <c r="FT2557" s="44"/>
    </row>
    <row r="2558" spans="5:176" x14ac:dyDescent="0.2">
      <c r="E2558" s="70"/>
      <c r="FT2558" s="44"/>
    </row>
    <row r="2559" spans="5:176" x14ac:dyDescent="0.2">
      <c r="E2559" s="70"/>
      <c r="FT2559" s="44"/>
    </row>
    <row r="2560" spans="5:176" x14ac:dyDescent="0.2">
      <c r="E2560" s="70"/>
      <c r="FT2560" s="44"/>
    </row>
    <row r="2561" spans="5:176" x14ac:dyDescent="0.2">
      <c r="E2561" s="70"/>
      <c r="FT2561" s="44"/>
    </row>
    <row r="2562" spans="5:176" x14ac:dyDescent="0.2">
      <c r="E2562" s="70"/>
      <c r="FT2562" s="44"/>
    </row>
    <row r="2563" spans="5:176" x14ac:dyDescent="0.2">
      <c r="E2563" s="70"/>
      <c r="FT2563" s="44"/>
    </row>
    <row r="2564" spans="5:176" x14ac:dyDescent="0.2">
      <c r="E2564" s="70"/>
      <c r="FT2564" s="44"/>
    </row>
    <row r="2565" spans="5:176" x14ac:dyDescent="0.2">
      <c r="E2565" s="70"/>
      <c r="FT2565" s="44"/>
    </row>
    <row r="2566" spans="5:176" x14ac:dyDescent="0.2">
      <c r="E2566" s="70"/>
      <c r="FT2566" s="44"/>
    </row>
    <row r="2567" spans="5:176" x14ac:dyDescent="0.2">
      <c r="E2567" s="70"/>
      <c r="FT2567" s="44"/>
    </row>
    <row r="2568" spans="5:176" x14ac:dyDescent="0.2">
      <c r="E2568" s="70"/>
      <c r="FT2568" s="44"/>
    </row>
    <row r="2569" spans="5:176" x14ac:dyDescent="0.2">
      <c r="E2569" s="70"/>
      <c r="FT2569" s="44"/>
    </row>
    <row r="2570" spans="5:176" x14ac:dyDescent="0.2">
      <c r="E2570" s="70"/>
      <c r="FT2570" s="44"/>
    </row>
    <row r="2571" spans="5:176" x14ac:dyDescent="0.2">
      <c r="E2571" s="70"/>
      <c r="FT2571" s="44"/>
    </row>
    <row r="2572" spans="5:176" x14ac:dyDescent="0.2">
      <c r="E2572" s="70"/>
      <c r="FT2572" s="44"/>
    </row>
    <row r="2573" spans="5:176" x14ac:dyDescent="0.2">
      <c r="E2573" s="70"/>
      <c r="FT2573" s="44"/>
    </row>
    <row r="2574" spans="5:176" x14ac:dyDescent="0.2">
      <c r="E2574" s="70"/>
      <c r="FT2574" s="44"/>
    </row>
    <row r="2575" spans="5:176" x14ac:dyDescent="0.2">
      <c r="E2575" s="70"/>
      <c r="FT2575" s="44"/>
    </row>
    <row r="2576" spans="5:176" x14ac:dyDescent="0.2">
      <c r="E2576" s="70"/>
      <c r="FT2576" s="44"/>
    </row>
    <row r="2577" spans="5:176" x14ac:dyDescent="0.2">
      <c r="E2577" s="70"/>
      <c r="FT2577" s="44"/>
    </row>
    <row r="2578" spans="5:176" x14ac:dyDescent="0.2">
      <c r="E2578" s="70"/>
      <c r="FT2578" s="44"/>
    </row>
    <row r="2579" spans="5:176" x14ac:dyDescent="0.2">
      <c r="E2579" s="70"/>
      <c r="FT2579" s="44"/>
    </row>
    <row r="2580" spans="5:176" x14ac:dyDescent="0.2">
      <c r="E2580" s="70"/>
      <c r="FT2580" s="44"/>
    </row>
    <row r="2581" spans="5:176" x14ac:dyDescent="0.2">
      <c r="E2581" s="70"/>
      <c r="FT2581" s="44"/>
    </row>
    <row r="2582" spans="5:176" x14ac:dyDescent="0.2">
      <c r="E2582" s="70"/>
      <c r="FT2582" s="44"/>
    </row>
    <row r="2583" spans="5:176" x14ac:dyDescent="0.2">
      <c r="E2583" s="70"/>
      <c r="FT2583" s="44"/>
    </row>
    <row r="2584" spans="5:176" x14ac:dyDescent="0.2">
      <c r="E2584" s="70"/>
      <c r="FT2584" s="44"/>
    </row>
    <row r="2585" spans="5:176" x14ac:dyDescent="0.2">
      <c r="E2585" s="70"/>
      <c r="FT2585" s="44"/>
    </row>
    <row r="2586" spans="5:176" x14ac:dyDescent="0.2">
      <c r="E2586" s="70"/>
      <c r="FT2586" s="44"/>
    </row>
    <row r="2587" spans="5:176" x14ac:dyDescent="0.2">
      <c r="E2587" s="70"/>
      <c r="FT2587" s="44"/>
    </row>
    <row r="2588" spans="5:176" x14ac:dyDescent="0.2">
      <c r="E2588" s="70"/>
      <c r="FT2588" s="44"/>
    </row>
    <row r="2589" spans="5:176" x14ac:dyDescent="0.2">
      <c r="E2589" s="70"/>
      <c r="FT2589" s="44"/>
    </row>
    <row r="2590" spans="5:176" x14ac:dyDescent="0.2">
      <c r="E2590" s="70"/>
      <c r="FT2590" s="44"/>
    </row>
    <row r="2591" spans="5:176" x14ac:dyDescent="0.2">
      <c r="E2591" s="70"/>
      <c r="FT2591" s="44"/>
    </row>
    <row r="2592" spans="5:176" x14ac:dyDescent="0.2">
      <c r="E2592" s="70"/>
      <c r="FT2592" s="44"/>
    </row>
    <row r="2593" spans="5:176" x14ac:dyDescent="0.2">
      <c r="E2593" s="70"/>
      <c r="FT2593" s="44"/>
    </row>
    <row r="2594" spans="5:176" x14ac:dyDescent="0.2">
      <c r="E2594" s="70"/>
      <c r="FT2594" s="44"/>
    </row>
    <row r="2595" spans="5:176" x14ac:dyDescent="0.2">
      <c r="E2595" s="70"/>
      <c r="FT2595" s="44"/>
    </row>
    <row r="2596" spans="5:176" x14ac:dyDescent="0.2">
      <c r="E2596" s="70"/>
      <c r="FT2596" s="44"/>
    </row>
    <row r="2597" spans="5:176" x14ac:dyDescent="0.2">
      <c r="E2597" s="70"/>
      <c r="FT2597" s="44"/>
    </row>
    <row r="2598" spans="5:176" x14ac:dyDescent="0.2">
      <c r="E2598" s="70"/>
      <c r="FT2598" s="44"/>
    </row>
    <row r="2599" spans="5:176" x14ac:dyDescent="0.2">
      <c r="E2599" s="70"/>
      <c r="FT2599" s="44"/>
    </row>
    <row r="2600" spans="5:176" x14ac:dyDescent="0.2">
      <c r="E2600" s="70"/>
      <c r="FT2600" s="44"/>
    </row>
    <row r="2601" spans="5:176" x14ac:dyDescent="0.2">
      <c r="E2601" s="70"/>
      <c r="FT2601" s="44"/>
    </row>
    <row r="2602" spans="5:176" x14ac:dyDescent="0.2">
      <c r="E2602" s="70"/>
      <c r="FT2602" s="44"/>
    </row>
    <row r="2603" spans="5:176" x14ac:dyDescent="0.2">
      <c r="E2603" s="70"/>
      <c r="FT2603" s="44"/>
    </row>
    <row r="2604" spans="5:176" x14ac:dyDescent="0.2">
      <c r="E2604" s="70"/>
      <c r="FT2604" s="44"/>
    </row>
    <row r="2605" spans="5:176" x14ac:dyDescent="0.2">
      <c r="E2605" s="70"/>
      <c r="FT2605" s="44"/>
    </row>
    <row r="2606" spans="5:176" x14ac:dyDescent="0.2">
      <c r="E2606" s="70"/>
      <c r="FT2606" s="44"/>
    </row>
    <row r="2607" spans="5:176" x14ac:dyDescent="0.2">
      <c r="E2607" s="70"/>
      <c r="FT2607" s="44"/>
    </row>
    <row r="2608" spans="5:176" x14ac:dyDescent="0.2">
      <c r="E2608" s="70"/>
      <c r="FT2608" s="44"/>
    </row>
    <row r="2609" spans="5:176" x14ac:dyDescent="0.2">
      <c r="E2609" s="70"/>
      <c r="FT2609" s="44"/>
    </row>
    <row r="2610" spans="5:176" x14ac:dyDescent="0.2">
      <c r="E2610" s="70"/>
      <c r="FT2610" s="44"/>
    </row>
    <row r="2611" spans="5:176" x14ac:dyDescent="0.2">
      <c r="E2611" s="70"/>
      <c r="FT2611" s="44"/>
    </row>
    <row r="2612" spans="5:176" x14ac:dyDescent="0.2">
      <c r="E2612" s="70"/>
      <c r="FT2612" s="44"/>
    </row>
    <row r="2613" spans="5:176" x14ac:dyDescent="0.2">
      <c r="E2613" s="70"/>
      <c r="FT2613" s="44"/>
    </row>
    <row r="2614" spans="5:176" x14ac:dyDescent="0.2">
      <c r="E2614" s="70"/>
      <c r="FT2614" s="44"/>
    </row>
    <row r="2615" spans="5:176" x14ac:dyDescent="0.2">
      <c r="E2615" s="70"/>
      <c r="FT2615" s="44"/>
    </row>
    <row r="2616" spans="5:176" x14ac:dyDescent="0.2">
      <c r="E2616" s="70"/>
      <c r="FT2616" s="44"/>
    </row>
    <row r="2617" spans="5:176" x14ac:dyDescent="0.2">
      <c r="E2617" s="70"/>
      <c r="FT2617" s="44"/>
    </row>
    <row r="2618" spans="5:176" x14ac:dyDescent="0.2">
      <c r="E2618" s="70"/>
      <c r="FT2618" s="44"/>
    </row>
    <row r="2619" spans="5:176" x14ac:dyDescent="0.2">
      <c r="E2619" s="70"/>
      <c r="FT2619" s="44"/>
    </row>
    <row r="2620" spans="5:176" x14ac:dyDescent="0.2">
      <c r="E2620" s="70"/>
      <c r="FT2620" s="44"/>
    </row>
    <row r="2621" spans="5:176" x14ac:dyDescent="0.2">
      <c r="E2621" s="70"/>
      <c r="FT2621" s="44"/>
    </row>
    <row r="2622" spans="5:176" x14ac:dyDescent="0.2">
      <c r="E2622" s="70"/>
      <c r="FT2622" s="44"/>
    </row>
    <row r="2623" spans="5:176" x14ac:dyDescent="0.2">
      <c r="E2623" s="70"/>
      <c r="FT2623" s="44"/>
    </row>
    <row r="2624" spans="5:176" x14ac:dyDescent="0.2">
      <c r="E2624" s="70"/>
      <c r="FT2624" s="44"/>
    </row>
    <row r="2625" spans="5:176" x14ac:dyDescent="0.2">
      <c r="E2625" s="70"/>
      <c r="FT2625" s="44"/>
    </row>
    <row r="2626" spans="5:176" x14ac:dyDescent="0.2">
      <c r="E2626" s="70"/>
      <c r="FT2626" s="44"/>
    </row>
    <row r="2627" spans="5:176" x14ac:dyDescent="0.2">
      <c r="E2627" s="70"/>
      <c r="FT2627" s="44"/>
    </row>
    <row r="2628" spans="5:176" x14ac:dyDescent="0.2">
      <c r="E2628" s="70"/>
      <c r="FT2628" s="44"/>
    </row>
    <row r="2629" spans="5:176" x14ac:dyDescent="0.2">
      <c r="E2629" s="70"/>
      <c r="FT2629" s="44"/>
    </row>
    <row r="2630" spans="5:176" x14ac:dyDescent="0.2">
      <c r="E2630" s="70"/>
      <c r="FT2630" s="44"/>
    </row>
    <row r="2631" spans="5:176" x14ac:dyDescent="0.2">
      <c r="E2631" s="70"/>
      <c r="FT2631" s="44"/>
    </row>
    <row r="2632" spans="5:176" x14ac:dyDescent="0.2">
      <c r="E2632" s="70"/>
      <c r="FT2632" s="44"/>
    </row>
    <row r="2633" spans="5:176" x14ac:dyDescent="0.2">
      <c r="E2633" s="70"/>
      <c r="FT2633" s="44"/>
    </row>
    <row r="2634" spans="5:176" x14ac:dyDescent="0.2">
      <c r="E2634" s="70"/>
      <c r="FT2634" s="44"/>
    </row>
    <row r="2635" spans="5:176" x14ac:dyDescent="0.2">
      <c r="E2635" s="70"/>
      <c r="FT2635" s="44"/>
    </row>
    <row r="2636" spans="5:176" x14ac:dyDescent="0.2">
      <c r="E2636" s="70"/>
      <c r="FT2636" s="44"/>
    </row>
    <row r="2637" spans="5:176" x14ac:dyDescent="0.2">
      <c r="E2637" s="70"/>
      <c r="FT2637" s="44"/>
    </row>
    <row r="2638" spans="5:176" x14ac:dyDescent="0.2">
      <c r="E2638" s="70"/>
      <c r="FT2638" s="44"/>
    </row>
    <row r="2639" spans="5:176" x14ac:dyDescent="0.2">
      <c r="E2639" s="70"/>
      <c r="FT2639" s="44"/>
    </row>
    <row r="2640" spans="5:176" x14ac:dyDescent="0.2">
      <c r="E2640" s="70"/>
      <c r="FT2640" s="44"/>
    </row>
    <row r="2641" spans="5:176" x14ac:dyDescent="0.2">
      <c r="E2641" s="70"/>
      <c r="FT2641" s="44"/>
    </row>
    <row r="2642" spans="5:176" x14ac:dyDescent="0.2">
      <c r="E2642" s="70"/>
      <c r="FT2642" s="44"/>
    </row>
    <row r="2643" spans="5:176" x14ac:dyDescent="0.2">
      <c r="E2643" s="70"/>
      <c r="FT2643" s="44"/>
    </row>
    <row r="2644" spans="5:176" x14ac:dyDescent="0.2">
      <c r="E2644" s="70"/>
      <c r="FT2644" s="44"/>
    </row>
    <row r="2645" spans="5:176" x14ac:dyDescent="0.2">
      <c r="E2645" s="70"/>
      <c r="FT2645" s="44"/>
    </row>
    <row r="2646" spans="5:176" x14ac:dyDescent="0.2">
      <c r="E2646" s="70"/>
      <c r="FT2646" s="44"/>
    </row>
    <row r="2647" spans="5:176" x14ac:dyDescent="0.2">
      <c r="E2647" s="70"/>
      <c r="FT2647" s="44"/>
    </row>
    <row r="2648" spans="5:176" x14ac:dyDescent="0.2">
      <c r="E2648" s="70"/>
      <c r="FT2648" s="44"/>
    </row>
    <row r="2649" spans="5:176" x14ac:dyDescent="0.2">
      <c r="E2649" s="70"/>
      <c r="FT2649" s="44"/>
    </row>
    <row r="2650" spans="5:176" x14ac:dyDescent="0.2">
      <c r="E2650" s="70"/>
      <c r="FT2650" s="44"/>
    </row>
    <row r="2651" spans="5:176" x14ac:dyDescent="0.2">
      <c r="E2651" s="70"/>
      <c r="FT2651" s="44"/>
    </row>
    <row r="2652" spans="5:176" x14ac:dyDescent="0.2">
      <c r="E2652" s="70"/>
      <c r="FT2652" s="44"/>
    </row>
    <row r="2653" spans="5:176" x14ac:dyDescent="0.2">
      <c r="E2653" s="70"/>
      <c r="FT2653" s="44"/>
    </row>
    <row r="2654" spans="5:176" x14ac:dyDescent="0.2">
      <c r="E2654" s="70"/>
      <c r="FT2654" s="44"/>
    </row>
    <row r="2655" spans="5:176" x14ac:dyDescent="0.2">
      <c r="E2655" s="70"/>
      <c r="FT2655" s="44"/>
    </row>
    <row r="2656" spans="5:176" x14ac:dyDescent="0.2">
      <c r="E2656" s="70"/>
      <c r="FT2656" s="44"/>
    </row>
    <row r="2657" spans="5:176" x14ac:dyDescent="0.2">
      <c r="E2657" s="70"/>
      <c r="FT2657" s="44"/>
    </row>
    <row r="2658" spans="5:176" x14ac:dyDescent="0.2">
      <c r="E2658" s="70"/>
      <c r="FT2658" s="44"/>
    </row>
    <row r="2659" spans="5:176" x14ac:dyDescent="0.2">
      <c r="E2659" s="70"/>
      <c r="FT2659" s="44"/>
    </row>
    <row r="2660" spans="5:176" x14ac:dyDescent="0.2">
      <c r="E2660" s="70"/>
      <c r="FT2660" s="44"/>
    </row>
    <row r="2661" spans="5:176" x14ac:dyDescent="0.2">
      <c r="E2661" s="70"/>
      <c r="FT2661" s="44"/>
    </row>
    <row r="2662" spans="5:176" x14ac:dyDescent="0.2">
      <c r="E2662" s="70"/>
      <c r="FT2662" s="44"/>
    </row>
    <row r="2663" spans="5:176" x14ac:dyDescent="0.2">
      <c r="E2663" s="70"/>
      <c r="FT2663" s="44"/>
    </row>
    <row r="2664" spans="5:176" x14ac:dyDescent="0.2">
      <c r="E2664" s="70"/>
      <c r="FT2664" s="44"/>
    </row>
    <row r="2665" spans="5:176" x14ac:dyDescent="0.2">
      <c r="E2665" s="70"/>
      <c r="FT2665" s="44"/>
    </row>
    <row r="2666" spans="5:176" x14ac:dyDescent="0.2">
      <c r="E2666" s="70"/>
      <c r="FT2666" s="44"/>
    </row>
    <row r="2667" spans="5:176" x14ac:dyDescent="0.2">
      <c r="E2667" s="70"/>
      <c r="FT2667" s="44"/>
    </row>
    <row r="2668" spans="5:176" x14ac:dyDescent="0.2">
      <c r="E2668" s="70"/>
      <c r="FT2668" s="44"/>
    </row>
    <row r="2669" spans="5:176" x14ac:dyDescent="0.2">
      <c r="E2669" s="70"/>
      <c r="FT2669" s="44"/>
    </row>
    <row r="2670" spans="5:176" x14ac:dyDescent="0.2">
      <c r="E2670" s="70"/>
      <c r="FT2670" s="44"/>
    </row>
    <row r="2671" spans="5:176" x14ac:dyDescent="0.2">
      <c r="E2671" s="70"/>
      <c r="FT2671" s="44"/>
    </row>
    <row r="2672" spans="5:176" x14ac:dyDescent="0.2">
      <c r="E2672" s="70"/>
      <c r="FT2672" s="44"/>
    </row>
    <row r="2673" spans="5:176" x14ac:dyDescent="0.2">
      <c r="E2673" s="70"/>
      <c r="FT2673" s="44"/>
    </row>
    <row r="2674" spans="5:176" x14ac:dyDescent="0.2">
      <c r="E2674" s="70"/>
      <c r="FT2674" s="44"/>
    </row>
    <row r="2675" spans="5:176" x14ac:dyDescent="0.2">
      <c r="E2675" s="70"/>
      <c r="FT2675" s="44"/>
    </row>
    <row r="2676" spans="5:176" x14ac:dyDescent="0.2">
      <c r="E2676" s="70"/>
      <c r="FT2676" s="44"/>
    </row>
    <row r="2677" spans="5:176" x14ac:dyDescent="0.2">
      <c r="E2677" s="70"/>
      <c r="FT2677" s="44"/>
    </row>
    <row r="2678" spans="5:176" x14ac:dyDescent="0.2">
      <c r="E2678" s="70"/>
      <c r="FT2678" s="44"/>
    </row>
    <row r="2679" spans="5:176" x14ac:dyDescent="0.2">
      <c r="E2679" s="70"/>
      <c r="FT2679" s="44"/>
    </row>
    <row r="2680" spans="5:176" x14ac:dyDescent="0.2">
      <c r="E2680" s="70"/>
      <c r="FT2680" s="44"/>
    </row>
    <row r="2681" spans="5:176" x14ac:dyDescent="0.2">
      <c r="E2681" s="70"/>
      <c r="FT2681" s="44"/>
    </row>
    <row r="2682" spans="5:176" x14ac:dyDescent="0.2">
      <c r="E2682" s="70"/>
      <c r="FT2682" s="44"/>
    </row>
    <row r="2683" spans="5:176" x14ac:dyDescent="0.2">
      <c r="E2683" s="70"/>
      <c r="FT2683" s="44"/>
    </row>
    <row r="2684" spans="5:176" x14ac:dyDescent="0.2">
      <c r="E2684" s="70"/>
      <c r="FT2684" s="44"/>
    </row>
    <row r="2685" spans="5:176" x14ac:dyDescent="0.2">
      <c r="E2685" s="70"/>
      <c r="FT2685" s="44"/>
    </row>
    <row r="2686" spans="5:176" x14ac:dyDescent="0.2">
      <c r="E2686" s="70"/>
      <c r="FT2686" s="44"/>
    </row>
    <row r="2687" spans="5:176" x14ac:dyDescent="0.2">
      <c r="E2687" s="70"/>
      <c r="FT2687" s="44"/>
    </row>
    <row r="2688" spans="5:176" x14ac:dyDescent="0.2">
      <c r="E2688" s="70"/>
      <c r="FT2688" s="44"/>
    </row>
    <row r="2689" spans="5:176" x14ac:dyDescent="0.2">
      <c r="E2689" s="70"/>
      <c r="FT2689" s="44"/>
    </row>
    <row r="2690" spans="5:176" x14ac:dyDescent="0.2">
      <c r="E2690" s="70"/>
      <c r="FT2690" s="44"/>
    </row>
    <row r="2691" spans="5:176" x14ac:dyDescent="0.2">
      <c r="E2691" s="70"/>
      <c r="FT2691" s="44"/>
    </row>
    <row r="2692" spans="5:176" x14ac:dyDescent="0.2">
      <c r="E2692" s="70"/>
      <c r="FT2692" s="44"/>
    </row>
    <row r="2693" spans="5:176" x14ac:dyDescent="0.2">
      <c r="E2693" s="70"/>
      <c r="FT2693" s="44"/>
    </row>
    <row r="2694" spans="5:176" x14ac:dyDescent="0.2">
      <c r="E2694" s="70"/>
      <c r="FT2694" s="44"/>
    </row>
    <row r="2695" spans="5:176" x14ac:dyDescent="0.2">
      <c r="E2695" s="70"/>
      <c r="FT2695" s="44"/>
    </row>
    <row r="2696" spans="5:176" x14ac:dyDescent="0.2">
      <c r="E2696" s="70"/>
      <c r="FT2696" s="44"/>
    </row>
    <row r="2697" spans="5:176" x14ac:dyDescent="0.2">
      <c r="E2697" s="70"/>
      <c r="FT2697" s="44"/>
    </row>
    <row r="2698" spans="5:176" x14ac:dyDescent="0.2">
      <c r="E2698" s="70"/>
      <c r="FT2698" s="44"/>
    </row>
    <row r="2699" spans="5:176" x14ac:dyDescent="0.2">
      <c r="E2699" s="70"/>
      <c r="FT2699" s="44"/>
    </row>
    <row r="2700" spans="5:176" x14ac:dyDescent="0.2">
      <c r="E2700" s="70"/>
      <c r="FT2700" s="44"/>
    </row>
    <row r="2701" spans="5:176" x14ac:dyDescent="0.2">
      <c r="E2701" s="70"/>
      <c r="FT2701" s="44"/>
    </row>
    <row r="2702" spans="5:176" x14ac:dyDescent="0.2">
      <c r="E2702" s="70"/>
      <c r="FT2702" s="44"/>
    </row>
    <row r="2703" spans="5:176" x14ac:dyDescent="0.2">
      <c r="E2703" s="70"/>
      <c r="FT2703" s="44"/>
    </row>
    <row r="2704" spans="5:176" x14ac:dyDescent="0.2">
      <c r="E2704" s="70"/>
      <c r="FT2704" s="44"/>
    </row>
    <row r="2705" spans="5:176" x14ac:dyDescent="0.2">
      <c r="E2705" s="70"/>
      <c r="FT2705" s="44"/>
    </row>
    <row r="2706" spans="5:176" x14ac:dyDescent="0.2">
      <c r="E2706" s="70"/>
      <c r="FT2706" s="44"/>
    </row>
    <row r="2707" spans="5:176" x14ac:dyDescent="0.2">
      <c r="E2707" s="70"/>
      <c r="FT2707" s="44"/>
    </row>
    <row r="2708" spans="5:176" x14ac:dyDescent="0.2">
      <c r="E2708" s="70"/>
      <c r="FT2708" s="44"/>
    </row>
    <row r="2709" spans="5:176" x14ac:dyDescent="0.2">
      <c r="E2709" s="70"/>
      <c r="FT2709" s="44"/>
    </row>
    <row r="2710" spans="5:176" x14ac:dyDescent="0.2">
      <c r="E2710" s="70"/>
      <c r="FT2710" s="44"/>
    </row>
    <row r="2711" spans="5:176" x14ac:dyDescent="0.2">
      <c r="E2711" s="70"/>
      <c r="FT2711" s="44"/>
    </row>
    <row r="2712" spans="5:176" x14ac:dyDescent="0.2">
      <c r="E2712" s="70"/>
      <c r="FT2712" s="44"/>
    </row>
    <row r="2713" spans="5:176" x14ac:dyDescent="0.2">
      <c r="E2713" s="70"/>
      <c r="FT2713" s="44"/>
    </row>
    <row r="2714" spans="5:176" x14ac:dyDescent="0.2">
      <c r="E2714" s="70"/>
      <c r="FT2714" s="44"/>
    </row>
    <row r="2715" spans="5:176" x14ac:dyDescent="0.2">
      <c r="E2715" s="70"/>
      <c r="FT2715" s="44"/>
    </row>
    <row r="2716" spans="5:176" x14ac:dyDescent="0.2">
      <c r="E2716" s="70"/>
      <c r="FT2716" s="44"/>
    </row>
    <row r="2717" spans="5:176" x14ac:dyDescent="0.2">
      <c r="E2717" s="70"/>
      <c r="FT2717" s="44"/>
    </row>
    <row r="2718" spans="5:176" x14ac:dyDescent="0.2">
      <c r="E2718" s="70"/>
      <c r="FT2718" s="44"/>
    </row>
    <row r="2719" spans="5:176" x14ac:dyDescent="0.2">
      <c r="E2719" s="70"/>
      <c r="FT2719" s="44"/>
    </row>
    <row r="2720" spans="5:176" x14ac:dyDescent="0.2">
      <c r="E2720" s="70"/>
      <c r="FT2720" s="44"/>
    </row>
    <row r="2721" spans="5:176" x14ac:dyDescent="0.2">
      <c r="E2721" s="70"/>
      <c r="FT2721" s="44"/>
    </row>
    <row r="2722" spans="5:176" x14ac:dyDescent="0.2">
      <c r="E2722" s="70"/>
      <c r="FT2722" s="44"/>
    </row>
    <row r="2723" spans="5:176" x14ac:dyDescent="0.2">
      <c r="E2723" s="70"/>
      <c r="FT2723" s="44"/>
    </row>
    <row r="2724" spans="5:176" x14ac:dyDescent="0.2">
      <c r="E2724" s="70"/>
      <c r="FT2724" s="44"/>
    </row>
    <row r="2725" spans="5:176" x14ac:dyDescent="0.2">
      <c r="E2725" s="70"/>
      <c r="FT2725" s="44"/>
    </row>
    <row r="2726" spans="5:176" x14ac:dyDescent="0.2">
      <c r="E2726" s="70"/>
      <c r="FT2726" s="44"/>
    </row>
    <row r="2727" spans="5:176" x14ac:dyDescent="0.2">
      <c r="E2727" s="70"/>
      <c r="FT2727" s="44"/>
    </row>
    <row r="2728" spans="5:176" x14ac:dyDescent="0.2">
      <c r="E2728" s="70"/>
      <c r="FT2728" s="44"/>
    </row>
    <row r="2729" spans="5:176" x14ac:dyDescent="0.2">
      <c r="E2729" s="70"/>
      <c r="FT2729" s="44"/>
    </row>
    <row r="2730" spans="5:176" x14ac:dyDescent="0.2">
      <c r="E2730" s="70"/>
      <c r="FT2730" s="44"/>
    </row>
    <row r="2731" spans="5:176" x14ac:dyDescent="0.2">
      <c r="E2731" s="70"/>
      <c r="FT2731" s="44"/>
    </row>
    <row r="2732" spans="5:176" x14ac:dyDescent="0.2">
      <c r="E2732" s="70"/>
      <c r="FT2732" s="44"/>
    </row>
    <row r="2733" spans="5:176" x14ac:dyDescent="0.2">
      <c r="E2733" s="70"/>
      <c r="FT2733" s="44"/>
    </row>
    <row r="2734" spans="5:176" x14ac:dyDescent="0.2">
      <c r="E2734" s="70"/>
      <c r="FT2734" s="44"/>
    </row>
    <row r="2735" spans="5:176" x14ac:dyDescent="0.2">
      <c r="E2735" s="70"/>
      <c r="FT2735" s="44"/>
    </row>
    <row r="2736" spans="5:176" x14ac:dyDescent="0.2">
      <c r="E2736" s="70"/>
      <c r="FT2736" s="44"/>
    </row>
    <row r="2737" spans="5:176" x14ac:dyDescent="0.2">
      <c r="E2737" s="70"/>
      <c r="FT2737" s="44"/>
    </row>
    <row r="2738" spans="5:176" x14ac:dyDescent="0.2">
      <c r="E2738" s="70"/>
      <c r="FT2738" s="44"/>
    </row>
    <row r="2739" spans="5:176" x14ac:dyDescent="0.2">
      <c r="E2739" s="70"/>
      <c r="FT2739" s="44"/>
    </row>
    <row r="2740" spans="5:176" x14ac:dyDescent="0.2">
      <c r="E2740" s="70"/>
      <c r="FT2740" s="44"/>
    </row>
    <row r="2741" spans="5:176" x14ac:dyDescent="0.2">
      <c r="E2741" s="70"/>
      <c r="FT2741" s="44"/>
    </row>
    <row r="2742" spans="5:176" x14ac:dyDescent="0.2">
      <c r="E2742" s="70"/>
      <c r="FT2742" s="44"/>
    </row>
    <row r="2743" spans="5:176" x14ac:dyDescent="0.2">
      <c r="E2743" s="70"/>
      <c r="FT2743" s="44"/>
    </row>
    <row r="2744" spans="5:176" x14ac:dyDescent="0.2">
      <c r="E2744" s="70"/>
      <c r="FT2744" s="44"/>
    </row>
    <row r="2745" spans="5:176" x14ac:dyDescent="0.2">
      <c r="E2745" s="70"/>
      <c r="FT2745" s="44"/>
    </row>
    <row r="2746" spans="5:176" x14ac:dyDescent="0.2">
      <c r="E2746" s="70"/>
      <c r="FT2746" s="44"/>
    </row>
    <row r="2747" spans="5:176" x14ac:dyDescent="0.2">
      <c r="E2747" s="70"/>
      <c r="FT2747" s="44"/>
    </row>
    <row r="2748" spans="5:176" x14ac:dyDescent="0.2">
      <c r="E2748" s="70"/>
      <c r="FT2748" s="44"/>
    </row>
    <row r="2749" spans="5:176" x14ac:dyDescent="0.2">
      <c r="E2749" s="70"/>
      <c r="FT2749" s="44"/>
    </row>
    <row r="2750" spans="5:176" x14ac:dyDescent="0.2">
      <c r="E2750" s="70"/>
      <c r="FT2750" s="44"/>
    </row>
    <row r="2751" spans="5:176" x14ac:dyDescent="0.2">
      <c r="E2751" s="70"/>
      <c r="FT2751" s="44"/>
    </row>
    <row r="2752" spans="5:176" x14ac:dyDescent="0.2">
      <c r="E2752" s="70"/>
      <c r="FT2752" s="44"/>
    </row>
    <row r="2753" spans="5:176" x14ac:dyDescent="0.2">
      <c r="E2753" s="70"/>
      <c r="FT2753" s="44"/>
    </row>
    <row r="2754" spans="5:176" x14ac:dyDescent="0.2">
      <c r="E2754" s="70"/>
      <c r="FT2754" s="44"/>
    </row>
    <row r="2755" spans="5:176" x14ac:dyDescent="0.2">
      <c r="E2755" s="70"/>
      <c r="FT2755" s="44"/>
    </row>
    <row r="2756" spans="5:176" x14ac:dyDescent="0.2">
      <c r="E2756" s="70"/>
      <c r="FT2756" s="44"/>
    </row>
    <row r="2757" spans="5:176" x14ac:dyDescent="0.2">
      <c r="E2757" s="70"/>
      <c r="FT2757" s="44"/>
    </row>
    <row r="2758" spans="5:176" x14ac:dyDescent="0.2">
      <c r="E2758" s="70"/>
      <c r="FT2758" s="44"/>
    </row>
    <row r="2759" spans="5:176" x14ac:dyDescent="0.2">
      <c r="E2759" s="70"/>
      <c r="FT2759" s="44"/>
    </row>
    <row r="2760" spans="5:176" x14ac:dyDescent="0.2">
      <c r="E2760" s="70"/>
      <c r="FT2760" s="44"/>
    </row>
    <row r="2761" spans="5:176" x14ac:dyDescent="0.2">
      <c r="E2761" s="70"/>
      <c r="FT2761" s="44"/>
    </row>
    <row r="2762" spans="5:176" x14ac:dyDescent="0.2">
      <c r="E2762" s="70"/>
      <c r="FT2762" s="44"/>
    </row>
    <row r="2763" spans="5:176" x14ac:dyDescent="0.2">
      <c r="E2763" s="70"/>
      <c r="FT2763" s="44"/>
    </row>
    <row r="2764" spans="5:176" x14ac:dyDescent="0.2">
      <c r="E2764" s="70"/>
      <c r="FT2764" s="44"/>
    </row>
    <row r="2765" spans="5:176" x14ac:dyDescent="0.2">
      <c r="E2765" s="70"/>
      <c r="FT2765" s="44"/>
    </row>
    <row r="2766" spans="5:176" x14ac:dyDescent="0.2">
      <c r="E2766" s="70"/>
      <c r="FT2766" s="44"/>
    </row>
    <row r="2767" spans="5:176" x14ac:dyDescent="0.2">
      <c r="E2767" s="70"/>
      <c r="FT2767" s="44"/>
    </row>
    <row r="2768" spans="5:176" x14ac:dyDescent="0.2">
      <c r="E2768" s="70"/>
      <c r="FT2768" s="44"/>
    </row>
    <row r="2769" spans="5:176" x14ac:dyDescent="0.2">
      <c r="E2769" s="70"/>
      <c r="FT2769" s="44"/>
    </row>
    <row r="2770" spans="5:176" x14ac:dyDescent="0.2">
      <c r="E2770" s="70"/>
      <c r="FT2770" s="44"/>
    </row>
    <row r="2771" spans="5:176" x14ac:dyDescent="0.2">
      <c r="E2771" s="70"/>
      <c r="FT2771" s="44"/>
    </row>
    <row r="2772" spans="5:176" x14ac:dyDescent="0.2">
      <c r="E2772" s="70"/>
      <c r="FT2772" s="44"/>
    </row>
    <row r="2773" spans="5:176" x14ac:dyDescent="0.2">
      <c r="E2773" s="70"/>
      <c r="FT2773" s="44"/>
    </row>
    <row r="2774" spans="5:176" x14ac:dyDescent="0.2">
      <c r="E2774" s="70"/>
      <c r="FT2774" s="44"/>
    </row>
    <row r="2775" spans="5:176" x14ac:dyDescent="0.2">
      <c r="E2775" s="70"/>
      <c r="FT2775" s="44"/>
    </row>
    <row r="2776" spans="5:176" x14ac:dyDescent="0.2">
      <c r="E2776" s="70"/>
      <c r="FT2776" s="44"/>
    </row>
    <row r="2777" spans="5:176" x14ac:dyDescent="0.2">
      <c r="E2777" s="70"/>
      <c r="FT2777" s="44"/>
    </row>
    <row r="2778" spans="5:176" x14ac:dyDescent="0.2">
      <c r="E2778" s="70"/>
      <c r="FT2778" s="44"/>
    </row>
    <row r="2779" spans="5:176" x14ac:dyDescent="0.2">
      <c r="E2779" s="70"/>
      <c r="FT2779" s="44"/>
    </row>
    <row r="2780" spans="5:176" x14ac:dyDescent="0.2">
      <c r="E2780" s="70"/>
      <c r="FT2780" s="44"/>
    </row>
    <row r="2781" spans="5:176" x14ac:dyDescent="0.2">
      <c r="E2781" s="70"/>
      <c r="FT2781" s="44"/>
    </row>
    <row r="2782" spans="5:176" x14ac:dyDescent="0.2">
      <c r="E2782" s="70"/>
      <c r="FT2782" s="44"/>
    </row>
    <row r="2783" spans="5:176" x14ac:dyDescent="0.2">
      <c r="E2783" s="70"/>
      <c r="FT2783" s="44"/>
    </row>
    <row r="2784" spans="5:176" x14ac:dyDescent="0.2">
      <c r="E2784" s="70"/>
      <c r="FT2784" s="44"/>
    </row>
    <row r="2785" spans="5:176" x14ac:dyDescent="0.2">
      <c r="E2785" s="70"/>
      <c r="FT2785" s="44"/>
    </row>
    <row r="2786" spans="5:176" x14ac:dyDescent="0.2">
      <c r="E2786" s="70"/>
      <c r="FT2786" s="44"/>
    </row>
    <row r="2787" spans="5:176" x14ac:dyDescent="0.2">
      <c r="E2787" s="70"/>
      <c r="FT2787" s="44"/>
    </row>
    <row r="2788" spans="5:176" x14ac:dyDescent="0.2">
      <c r="E2788" s="70"/>
      <c r="FT2788" s="44"/>
    </row>
    <row r="2789" spans="5:176" x14ac:dyDescent="0.2">
      <c r="E2789" s="70"/>
      <c r="FT2789" s="44"/>
    </row>
    <row r="2790" spans="5:176" x14ac:dyDescent="0.2">
      <c r="E2790" s="70"/>
      <c r="FT2790" s="44"/>
    </row>
    <row r="2791" spans="5:176" x14ac:dyDescent="0.2">
      <c r="E2791" s="70"/>
      <c r="FT2791" s="44"/>
    </row>
    <row r="2792" spans="5:176" x14ac:dyDescent="0.2">
      <c r="E2792" s="70"/>
      <c r="FT2792" s="44"/>
    </row>
    <row r="2793" spans="5:176" x14ac:dyDescent="0.2">
      <c r="E2793" s="70"/>
      <c r="FT2793" s="44"/>
    </row>
    <row r="2794" spans="5:176" x14ac:dyDescent="0.2">
      <c r="E2794" s="70"/>
      <c r="FT2794" s="44"/>
    </row>
    <row r="2795" spans="5:176" x14ac:dyDescent="0.2">
      <c r="E2795" s="70"/>
      <c r="FT2795" s="44"/>
    </row>
    <row r="2796" spans="5:176" x14ac:dyDescent="0.2">
      <c r="E2796" s="70"/>
      <c r="FT2796" s="44"/>
    </row>
    <row r="2797" spans="5:176" x14ac:dyDescent="0.2">
      <c r="E2797" s="70"/>
      <c r="FT2797" s="44"/>
    </row>
    <row r="2798" spans="5:176" x14ac:dyDescent="0.2">
      <c r="E2798" s="70"/>
      <c r="FT2798" s="44"/>
    </row>
    <row r="2799" spans="5:176" x14ac:dyDescent="0.2">
      <c r="E2799" s="70"/>
      <c r="FT2799" s="44"/>
    </row>
    <row r="2800" spans="5:176" x14ac:dyDescent="0.2">
      <c r="E2800" s="70"/>
      <c r="FT2800" s="44"/>
    </row>
    <row r="2801" spans="5:176" x14ac:dyDescent="0.2">
      <c r="E2801" s="70"/>
      <c r="FT2801" s="44"/>
    </row>
    <row r="2802" spans="5:176" x14ac:dyDescent="0.2">
      <c r="E2802" s="70"/>
      <c r="FT2802" s="44"/>
    </row>
    <row r="2803" spans="5:176" x14ac:dyDescent="0.2">
      <c r="E2803" s="70"/>
      <c r="FT2803" s="44"/>
    </row>
    <row r="2804" spans="5:176" x14ac:dyDescent="0.2">
      <c r="E2804" s="70"/>
      <c r="FT2804" s="44"/>
    </row>
    <row r="2805" spans="5:176" x14ac:dyDescent="0.2">
      <c r="E2805" s="70"/>
      <c r="FT2805" s="44"/>
    </row>
    <row r="2806" spans="5:176" x14ac:dyDescent="0.2">
      <c r="E2806" s="70"/>
      <c r="FT2806" s="44"/>
    </row>
    <row r="2807" spans="5:176" x14ac:dyDescent="0.2">
      <c r="E2807" s="70"/>
      <c r="FT2807" s="44"/>
    </row>
    <row r="2808" spans="5:176" x14ac:dyDescent="0.2">
      <c r="E2808" s="70"/>
      <c r="FT2808" s="44"/>
    </row>
    <row r="2809" spans="5:176" x14ac:dyDescent="0.2">
      <c r="E2809" s="70"/>
      <c r="FT2809" s="44"/>
    </row>
    <row r="2810" spans="5:176" x14ac:dyDescent="0.2">
      <c r="E2810" s="70"/>
      <c r="FT2810" s="44"/>
    </row>
    <row r="2811" spans="5:176" x14ac:dyDescent="0.2">
      <c r="E2811" s="70"/>
      <c r="FT2811" s="44"/>
    </row>
    <row r="2812" spans="5:176" x14ac:dyDescent="0.2">
      <c r="E2812" s="70"/>
      <c r="FT2812" s="44"/>
    </row>
    <row r="2813" spans="5:176" x14ac:dyDescent="0.2">
      <c r="E2813" s="70"/>
      <c r="FT2813" s="44"/>
    </row>
    <row r="2814" spans="5:176" x14ac:dyDescent="0.2">
      <c r="E2814" s="70"/>
      <c r="FT2814" s="44"/>
    </row>
    <row r="2815" spans="5:176" x14ac:dyDescent="0.2">
      <c r="E2815" s="70"/>
      <c r="FT2815" s="44"/>
    </row>
    <row r="2816" spans="5:176" x14ac:dyDescent="0.2">
      <c r="E2816" s="70"/>
      <c r="FT2816" s="44"/>
    </row>
    <row r="2817" spans="5:176" x14ac:dyDescent="0.2">
      <c r="E2817" s="70"/>
      <c r="FT2817" s="44"/>
    </row>
    <row r="2818" spans="5:176" x14ac:dyDescent="0.2">
      <c r="E2818" s="70"/>
      <c r="FT2818" s="44"/>
    </row>
    <row r="2819" spans="5:176" x14ac:dyDescent="0.2">
      <c r="E2819" s="70"/>
      <c r="FT2819" s="44"/>
    </row>
    <row r="2820" spans="5:176" x14ac:dyDescent="0.2">
      <c r="E2820" s="70"/>
      <c r="FT2820" s="44"/>
    </row>
    <row r="2821" spans="5:176" x14ac:dyDescent="0.2">
      <c r="E2821" s="70"/>
      <c r="FT2821" s="44"/>
    </row>
    <row r="2822" spans="5:176" x14ac:dyDescent="0.2">
      <c r="E2822" s="70"/>
      <c r="FT2822" s="44"/>
    </row>
    <row r="2823" spans="5:176" x14ac:dyDescent="0.2">
      <c r="E2823" s="70"/>
      <c r="FT2823" s="44"/>
    </row>
    <row r="2824" spans="5:176" x14ac:dyDescent="0.2">
      <c r="E2824" s="70"/>
      <c r="FT2824" s="44"/>
    </row>
    <row r="2825" spans="5:176" x14ac:dyDescent="0.2">
      <c r="E2825" s="70"/>
      <c r="FT2825" s="44"/>
    </row>
    <row r="2826" spans="5:176" x14ac:dyDescent="0.2">
      <c r="E2826" s="70"/>
      <c r="FT2826" s="44"/>
    </row>
    <row r="2827" spans="5:176" x14ac:dyDescent="0.2">
      <c r="E2827" s="70"/>
      <c r="FT2827" s="44"/>
    </row>
    <row r="2828" spans="5:176" x14ac:dyDescent="0.2">
      <c r="E2828" s="70"/>
      <c r="FT2828" s="44"/>
    </row>
    <row r="2829" spans="5:176" x14ac:dyDescent="0.2">
      <c r="E2829" s="70"/>
      <c r="FT2829" s="44"/>
    </row>
    <row r="2830" spans="5:176" x14ac:dyDescent="0.2">
      <c r="E2830" s="70"/>
      <c r="FT2830" s="44"/>
    </row>
    <row r="2831" spans="5:176" x14ac:dyDescent="0.2">
      <c r="E2831" s="70"/>
      <c r="FT2831" s="44"/>
    </row>
    <row r="2832" spans="5:176" x14ac:dyDescent="0.2">
      <c r="E2832" s="70"/>
      <c r="FT2832" s="44"/>
    </row>
    <row r="2833" spans="5:176" x14ac:dyDescent="0.2">
      <c r="E2833" s="70"/>
      <c r="FT2833" s="44"/>
    </row>
    <row r="2834" spans="5:176" x14ac:dyDescent="0.2">
      <c r="E2834" s="70"/>
      <c r="FT2834" s="44"/>
    </row>
    <row r="2835" spans="5:176" x14ac:dyDescent="0.2">
      <c r="E2835" s="70"/>
      <c r="FT2835" s="44"/>
    </row>
    <row r="2836" spans="5:176" x14ac:dyDescent="0.2">
      <c r="E2836" s="70"/>
      <c r="FT2836" s="44"/>
    </row>
    <row r="2837" spans="5:176" x14ac:dyDescent="0.2">
      <c r="E2837" s="70"/>
      <c r="FT2837" s="44"/>
    </row>
    <row r="2838" spans="5:176" x14ac:dyDescent="0.2">
      <c r="E2838" s="70"/>
      <c r="FT2838" s="44"/>
    </row>
    <row r="2839" spans="5:176" x14ac:dyDescent="0.2">
      <c r="E2839" s="70"/>
      <c r="FT2839" s="44"/>
    </row>
    <row r="2840" spans="5:176" x14ac:dyDescent="0.2">
      <c r="E2840" s="70"/>
      <c r="FT2840" s="44"/>
    </row>
    <row r="2841" spans="5:176" x14ac:dyDescent="0.2">
      <c r="E2841" s="70"/>
      <c r="FT2841" s="44"/>
    </row>
    <row r="2842" spans="5:176" x14ac:dyDescent="0.2">
      <c r="E2842" s="70"/>
      <c r="FT2842" s="44"/>
    </row>
    <row r="2843" spans="5:176" x14ac:dyDescent="0.2">
      <c r="E2843" s="70"/>
      <c r="FT2843" s="44"/>
    </row>
    <row r="2844" spans="5:176" x14ac:dyDescent="0.2">
      <c r="E2844" s="70"/>
      <c r="FT2844" s="44"/>
    </row>
    <row r="2845" spans="5:176" x14ac:dyDescent="0.2">
      <c r="E2845" s="70"/>
      <c r="FT2845" s="44"/>
    </row>
    <row r="2846" spans="5:176" x14ac:dyDescent="0.2">
      <c r="E2846" s="70"/>
      <c r="FT2846" s="44"/>
    </row>
    <row r="2847" spans="5:176" x14ac:dyDescent="0.2">
      <c r="E2847" s="70"/>
      <c r="FT2847" s="44"/>
    </row>
    <row r="2848" spans="5:176" x14ac:dyDescent="0.2">
      <c r="E2848" s="70"/>
      <c r="FT2848" s="44"/>
    </row>
    <row r="2849" spans="5:176" x14ac:dyDescent="0.2">
      <c r="E2849" s="70"/>
      <c r="FT2849" s="44"/>
    </row>
    <row r="2850" spans="5:176" x14ac:dyDescent="0.2">
      <c r="E2850" s="70"/>
      <c r="FT2850" s="44"/>
    </row>
    <row r="2851" spans="5:176" x14ac:dyDescent="0.2">
      <c r="E2851" s="70"/>
      <c r="FT2851" s="44"/>
    </row>
    <row r="2852" spans="5:176" x14ac:dyDescent="0.2">
      <c r="E2852" s="70"/>
      <c r="FT2852" s="44"/>
    </row>
    <row r="2853" spans="5:176" x14ac:dyDescent="0.2">
      <c r="E2853" s="70"/>
      <c r="FT2853" s="44"/>
    </row>
    <row r="2854" spans="5:176" x14ac:dyDescent="0.2">
      <c r="E2854" s="70"/>
      <c r="FT2854" s="44"/>
    </row>
    <row r="2855" spans="5:176" x14ac:dyDescent="0.2">
      <c r="E2855" s="70"/>
      <c r="FT2855" s="44"/>
    </row>
    <row r="2856" spans="5:176" x14ac:dyDescent="0.2">
      <c r="E2856" s="70"/>
      <c r="FT2856" s="44"/>
    </row>
    <row r="2857" spans="5:176" x14ac:dyDescent="0.2">
      <c r="E2857" s="70"/>
      <c r="FT2857" s="44"/>
    </row>
    <row r="2858" spans="5:176" x14ac:dyDescent="0.2">
      <c r="E2858" s="70"/>
      <c r="FT2858" s="44"/>
    </row>
    <row r="2859" spans="5:176" x14ac:dyDescent="0.2">
      <c r="E2859" s="70"/>
      <c r="FT2859" s="44"/>
    </row>
    <row r="2860" spans="5:176" x14ac:dyDescent="0.2">
      <c r="E2860" s="70"/>
      <c r="FT2860" s="44"/>
    </row>
    <row r="2861" spans="5:176" x14ac:dyDescent="0.2">
      <c r="E2861" s="70"/>
      <c r="FT2861" s="44"/>
    </row>
    <row r="2862" spans="5:176" x14ac:dyDescent="0.2">
      <c r="E2862" s="70"/>
      <c r="FT2862" s="44"/>
    </row>
    <row r="2863" spans="5:176" x14ac:dyDescent="0.2">
      <c r="E2863" s="70"/>
      <c r="FT2863" s="44"/>
    </row>
    <row r="2864" spans="5:176" x14ac:dyDescent="0.2">
      <c r="E2864" s="70"/>
      <c r="FT2864" s="44"/>
    </row>
    <row r="2865" spans="5:176" x14ac:dyDescent="0.2">
      <c r="E2865" s="70"/>
      <c r="FT2865" s="44"/>
    </row>
    <row r="2866" spans="5:176" x14ac:dyDescent="0.2">
      <c r="E2866" s="70"/>
      <c r="FT2866" s="44"/>
    </row>
    <row r="2867" spans="5:176" x14ac:dyDescent="0.2">
      <c r="E2867" s="70"/>
      <c r="FT2867" s="44"/>
    </row>
    <row r="2868" spans="5:176" x14ac:dyDescent="0.2">
      <c r="E2868" s="70"/>
      <c r="FT2868" s="44"/>
    </row>
    <row r="2869" spans="5:176" x14ac:dyDescent="0.2">
      <c r="E2869" s="70"/>
      <c r="FT2869" s="44"/>
    </row>
    <row r="2870" spans="5:176" x14ac:dyDescent="0.2">
      <c r="E2870" s="70"/>
      <c r="FT2870" s="44"/>
    </row>
    <row r="2871" spans="5:176" x14ac:dyDescent="0.2">
      <c r="E2871" s="70"/>
      <c r="FT2871" s="44"/>
    </row>
    <row r="2872" spans="5:176" x14ac:dyDescent="0.2">
      <c r="E2872" s="70"/>
      <c r="FT2872" s="44"/>
    </row>
    <row r="2873" spans="5:176" x14ac:dyDescent="0.2">
      <c r="E2873" s="70"/>
      <c r="FT2873" s="44"/>
    </row>
    <row r="2874" spans="5:176" x14ac:dyDescent="0.2">
      <c r="E2874" s="70"/>
      <c r="FT2874" s="44"/>
    </row>
    <row r="2875" spans="5:176" x14ac:dyDescent="0.2">
      <c r="E2875" s="70"/>
      <c r="FT2875" s="44"/>
    </row>
    <row r="2876" spans="5:176" x14ac:dyDescent="0.2">
      <c r="E2876" s="70"/>
      <c r="FT2876" s="44"/>
    </row>
    <row r="2877" spans="5:176" x14ac:dyDescent="0.2">
      <c r="E2877" s="70"/>
      <c r="FT2877" s="44"/>
    </row>
    <row r="2878" spans="5:176" x14ac:dyDescent="0.2">
      <c r="E2878" s="70"/>
      <c r="FT2878" s="44"/>
    </row>
    <row r="2879" spans="5:176" x14ac:dyDescent="0.2">
      <c r="E2879" s="70"/>
      <c r="FT2879" s="44"/>
    </row>
    <row r="2880" spans="5:176" x14ac:dyDescent="0.2">
      <c r="E2880" s="70"/>
      <c r="FT2880" s="44"/>
    </row>
    <row r="2881" spans="5:176" x14ac:dyDescent="0.2">
      <c r="E2881" s="70"/>
      <c r="FT2881" s="44"/>
    </row>
    <row r="2882" spans="5:176" x14ac:dyDescent="0.2">
      <c r="E2882" s="70"/>
      <c r="FT2882" s="44"/>
    </row>
    <row r="2883" spans="5:176" x14ac:dyDescent="0.2">
      <c r="E2883" s="70"/>
      <c r="FT2883" s="44"/>
    </row>
    <row r="2884" spans="5:176" x14ac:dyDescent="0.2">
      <c r="E2884" s="70"/>
      <c r="FT2884" s="44"/>
    </row>
    <row r="2885" spans="5:176" x14ac:dyDescent="0.2">
      <c r="E2885" s="70"/>
      <c r="FT2885" s="44"/>
    </row>
    <row r="2886" spans="5:176" x14ac:dyDescent="0.2">
      <c r="E2886" s="70"/>
      <c r="FT2886" s="44"/>
    </row>
    <row r="2887" spans="5:176" x14ac:dyDescent="0.2">
      <c r="E2887" s="70"/>
      <c r="FT2887" s="44"/>
    </row>
    <row r="2888" spans="5:176" x14ac:dyDescent="0.2">
      <c r="E2888" s="70"/>
      <c r="FT2888" s="44"/>
    </row>
    <row r="2889" spans="5:176" x14ac:dyDescent="0.2">
      <c r="E2889" s="70"/>
      <c r="FT2889" s="44"/>
    </row>
    <row r="2890" spans="5:176" x14ac:dyDescent="0.2">
      <c r="E2890" s="70"/>
      <c r="FT2890" s="44"/>
    </row>
    <row r="2891" spans="5:176" x14ac:dyDescent="0.2">
      <c r="E2891" s="70"/>
      <c r="FT2891" s="44"/>
    </row>
    <row r="2892" spans="5:176" x14ac:dyDescent="0.2">
      <c r="E2892" s="70"/>
      <c r="FT2892" s="44"/>
    </row>
    <row r="2893" spans="5:176" x14ac:dyDescent="0.2">
      <c r="E2893" s="70"/>
      <c r="FT2893" s="44"/>
    </row>
    <row r="2894" spans="5:176" x14ac:dyDescent="0.2">
      <c r="E2894" s="70"/>
      <c r="FT2894" s="44"/>
    </row>
    <row r="2895" spans="5:176" x14ac:dyDescent="0.2">
      <c r="E2895" s="70"/>
      <c r="FT2895" s="44"/>
    </row>
    <row r="2896" spans="5:176" x14ac:dyDescent="0.2">
      <c r="E2896" s="70"/>
      <c r="FT2896" s="44"/>
    </row>
    <row r="2897" spans="5:176" x14ac:dyDescent="0.2">
      <c r="E2897" s="70"/>
      <c r="FT2897" s="44"/>
    </row>
    <row r="2898" spans="5:176" x14ac:dyDescent="0.2">
      <c r="E2898" s="70"/>
      <c r="FT2898" s="44"/>
    </row>
    <row r="2899" spans="5:176" x14ac:dyDescent="0.2">
      <c r="E2899" s="70"/>
      <c r="FT2899" s="44"/>
    </row>
    <row r="2900" spans="5:176" x14ac:dyDescent="0.2">
      <c r="E2900" s="70"/>
      <c r="FT2900" s="44"/>
    </row>
    <row r="2901" spans="5:176" x14ac:dyDescent="0.2">
      <c r="E2901" s="70"/>
      <c r="FT2901" s="44"/>
    </row>
    <row r="2902" spans="5:176" x14ac:dyDescent="0.2">
      <c r="E2902" s="70"/>
      <c r="FT2902" s="44"/>
    </row>
    <row r="2903" spans="5:176" x14ac:dyDescent="0.2">
      <c r="E2903" s="70"/>
      <c r="FT2903" s="44"/>
    </row>
    <row r="2904" spans="5:176" x14ac:dyDescent="0.2">
      <c r="E2904" s="70"/>
      <c r="FT2904" s="44"/>
    </row>
    <row r="2905" spans="5:176" x14ac:dyDescent="0.2">
      <c r="E2905" s="70"/>
      <c r="FT2905" s="44"/>
    </row>
    <row r="2906" spans="5:176" x14ac:dyDescent="0.2">
      <c r="E2906" s="70"/>
      <c r="FT2906" s="44"/>
    </row>
    <row r="2907" spans="5:176" x14ac:dyDescent="0.2">
      <c r="E2907" s="70"/>
      <c r="FT2907" s="44"/>
    </row>
    <row r="2908" spans="5:176" x14ac:dyDescent="0.2">
      <c r="E2908" s="70"/>
      <c r="FT2908" s="44"/>
    </row>
    <row r="2909" spans="5:176" x14ac:dyDescent="0.2">
      <c r="E2909" s="70"/>
      <c r="FT2909" s="44"/>
    </row>
    <row r="2910" spans="5:176" x14ac:dyDescent="0.2">
      <c r="E2910" s="70"/>
      <c r="FT2910" s="44"/>
    </row>
    <row r="2911" spans="5:176" x14ac:dyDescent="0.2">
      <c r="E2911" s="70"/>
      <c r="FT2911" s="44"/>
    </row>
    <row r="2912" spans="5:176" x14ac:dyDescent="0.2">
      <c r="E2912" s="70"/>
      <c r="FT2912" s="44"/>
    </row>
    <row r="2913" spans="5:176" x14ac:dyDescent="0.2">
      <c r="E2913" s="70"/>
      <c r="FT2913" s="44"/>
    </row>
    <row r="2914" spans="5:176" x14ac:dyDescent="0.2">
      <c r="E2914" s="70"/>
      <c r="FT2914" s="44"/>
    </row>
    <row r="2915" spans="5:176" x14ac:dyDescent="0.2">
      <c r="E2915" s="70"/>
      <c r="FT2915" s="44"/>
    </row>
    <row r="2916" spans="5:176" x14ac:dyDescent="0.2">
      <c r="E2916" s="70"/>
      <c r="FT2916" s="44"/>
    </row>
    <row r="2917" spans="5:176" x14ac:dyDescent="0.2">
      <c r="E2917" s="70"/>
      <c r="FT2917" s="44"/>
    </row>
    <row r="2918" spans="5:176" x14ac:dyDescent="0.2">
      <c r="E2918" s="70"/>
      <c r="FT2918" s="44"/>
    </row>
    <row r="2919" spans="5:176" x14ac:dyDescent="0.2">
      <c r="E2919" s="70"/>
      <c r="FT2919" s="44"/>
    </row>
    <row r="2920" spans="5:176" x14ac:dyDescent="0.2">
      <c r="E2920" s="70"/>
      <c r="FT2920" s="44"/>
    </row>
    <row r="2921" spans="5:176" x14ac:dyDescent="0.2">
      <c r="E2921" s="70"/>
      <c r="FT2921" s="44"/>
    </row>
    <row r="2922" spans="5:176" x14ac:dyDescent="0.2">
      <c r="E2922" s="70"/>
      <c r="FT2922" s="44"/>
    </row>
    <row r="2923" spans="5:176" x14ac:dyDescent="0.2">
      <c r="E2923" s="70"/>
      <c r="FT2923" s="44"/>
    </row>
    <row r="2924" spans="5:176" x14ac:dyDescent="0.2">
      <c r="E2924" s="70"/>
      <c r="FT2924" s="44"/>
    </row>
    <row r="2925" spans="5:176" x14ac:dyDescent="0.2">
      <c r="E2925" s="70"/>
      <c r="FT2925" s="44"/>
    </row>
    <row r="2926" spans="5:176" x14ac:dyDescent="0.2">
      <c r="E2926" s="70"/>
      <c r="FT2926" s="44"/>
    </row>
    <row r="2927" spans="5:176" x14ac:dyDescent="0.2">
      <c r="E2927" s="70"/>
      <c r="FT2927" s="44"/>
    </row>
    <row r="2928" spans="5:176" x14ac:dyDescent="0.2">
      <c r="E2928" s="70"/>
      <c r="FT2928" s="44"/>
    </row>
    <row r="2929" spans="5:176" x14ac:dyDescent="0.2">
      <c r="E2929" s="70"/>
      <c r="FT2929" s="44"/>
    </row>
    <row r="2930" spans="5:176" x14ac:dyDescent="0.2">
      <c r="E2930" s="70"/>
      <c r="FT2930" s="44"/>
    </row>
    <row r="2931" spans="5:176" x14ac:dyDescent="0.2">
      <c r="E2931" s="70"/>
      <c r="FT2931" s="44"/>
    </row>
    <row r="2932" spans="5:176" x14ac:dyDescent="0.2">
      <c r="E2932" s="70"/>
      <c r="FT2932" s="44"/>
    </row>
    <row r="2933" spans="5:176" x14ac:dyDescent="0.2">
      <c r="E2933" s="70"/>
      <c r="FT2933" s="44"/>
    </row>
    <row r="2934" spans="5:176" x14ac:dyDescent="0.2">
      <c r="E2934" s="70"/>
      <c r="FT2934" s="44"/>
    </row>
    <row r="2935" spans="5:176" x14ac:dyDescent="0.2">
      <c r="E2935" s="70"/>
      <c r="FT2935" s="44"/>
    </row>
    <row r="2936" spans="5:176" x14ac:dyDescent="0.2">
      <c r="E2936" s="70"/>
      <c r="FT2936" s="44"/>
    </row>
    <row r="2937" spans="5:176" x14ac:dyDescent="0.2">
      <c r="E2937" s="70"/>
      <c r="FT2937" s="44"/>
    </row>
    <row r="2938" spans="5:176" x14ac:dyDescent="0.2">
      <c r="E2938" s="70"/>
      <c r="FT2938" s="44"/>
    </row>
    <row r="2939" spans="5:176" x14ac:dyDescent="0.2">
      <c r="E2939" s="70"/>
      <c r="FT2939" s="44"/>
    </row>
    <row r="2940" spans="5:176" x14ac:dyDescent="0.2">
      <c r="E2940" s="70"/>
      <c r="FT2940" s="44"/>
    </row>
    <row r="2941" spans="5:176" x14ac:dyDescent="0.2">
      <c r="E2941" s="70"/>
      <c r="FT2941" s="44"/>
    </row>
    <row r="2942" spans="5:176" x14ac:dyDescent="0.2">
      <c r="E2942" s="70"/>
      <c r="FT2942" s="44"/>
    </row>
    <row r="2943" spans="5:176" x14ac:dyDescent="0.2">
      <c r="E2943" s="70"/>
      <c r="FT2943" s="44"/>
    </row>
    <row r="2944" spans="5:176" x14ac:dyDescent="0.2">
      <c r="E2944" s="70"/>
      <c r="FT2944" s="44"/>
    </row>
    <row r="2945" spans="5:176" x14ac:dyDescent="0.2">
      <c r="E2945" s="70"/>
      <c r="FT2945" s="44"/>
    </row>
    <row r="2946" spans="5:176" x14ac:dyDescent="0.2">
      <c r="E2946" s="70"/>
      <c r="FT2946" s="44"/>
    </row>
    <row r="2947" spans="5:176" x14ac:dyDescent="0.2">
      <c r="E2947" s="70"/>
      <c r="FT2947" s="44"/>
    </row>
    <row r="2948" spans="5:176" x14ac:dyDescent="0.2">
      <c r="E2948" s="70"/>
      <c r="FT2948" s="44"/>
    </row>
    <row r="2949" spans="5:176" x14ac:dyDescent="0.2">
      <c r="E2949" s="70"/>
      <c r="FT2949" s="44"/>
    </row>
    <row r="2950" spans="5:176" x14ac:dyDescent="0.2">
      <c r="E2950" s="70"/>
      <c r="FT2950" s="44"/>
    </row>
    <row r="2951" spans="5:176" x14ac:dyDescent="0.2">
      <c r="E2951" s="70"/>
      <c r="FT2951" s="44"/>
    </row>
    <row r="2952" spans="5:176" x14ac:dyDescent="0.2">
      <c r="E2952" s="70"/>
      <c r="FT2952" s="44"/>
    </row>
    <row r="2953" spans="5:176" x14ac:dyDescent="0.2">
      <c r="E2953" s="70"/>
      <c r="FT2953" s="44"/>
    </row>
    <row r="2954" spans="5:176" x14ac:dyDescent="0.2">
      <c r="E2954" s="70"/>
      <c r="FT2954" s="44"/>
    </row>
    <row r="2955" spans="5:176" x14ac:dyDescent="0.2">
      <c r="E2955" s="70"/>
      <c r="FT2955" s="44"/>
    </row>
    <row r="2956" spans="5:176" x14ac:dyDescent="0.2">
      <c r="E2956" s="70"/>
      <c r="FT2956" s="44"/>
    </row>
    <row r="2957" spans="5:176" x14ac:dyDescent="0.2">
      <c r="E2957" s="70"/>
      <c r="FT2957" s="44"/>
    </row>
    <row r="2958" spans="5:176" x14ac:dyDescent="0.2">
      <c r="E2958" s="70"/>
      <c r="FT2958" s="44"/>
    </row>
    <row r="2959" spans="5:176" x14ac:dyDescent="0.2">
      <c r="E2959" s="70"/>
      <c r="FT2959" s="44"/>
    </row>
    <row r="2960" spans="5:176" x14ac:dyDescent="0.2">
      <c r="E2960" s="70"/>
      <c r="FT2960" s="44"/>
    </row>
    <row r="2961" spans="5:176" x14ac:dyDescent="0.2">
      <c r="E2961" s="70"/>
      <c r="FT2961" s="44"/>
    </row>
    <row r="2962" spans="5:176" x14ac:dyDescent="0.2">
      <c r="E2962" s="70"/>
      <c r="FT2962" s="44"/>
    </row>
    <row r="2963" spans="5:176" x14ac:dyDescent="0.2">
      <c r="E2963" s="70"/>
      <c r="FT2963" s="44"/>
    </row>
    <row r="2964" spans="5:176" x14ac:dyDescent="0.2">
      <c r="E2964" s="70"/>
      <c r="FT2964" s="44"/>
    </row>
    <row r="2965" spans="5:176" x14ac:dyDescent="0.2">
      <c r="E2965" s="70"/>
      <c r="FT2965" s="44"/>
    </row>
    <row r="2966" spans="5:176" x14ac:dyDescent="0.2">
      <c r="E2966" s="70"/>
      <c r="FT2966" s="44"/>
    </row>
    <row r="2967" spans="5:176" x14ac:dyDescent="0.2">
      <c r="E2967" s="70"/>
      <c r="FT2967" s="44"/>
    </row>
    <row r="2968" spans="5:176" x14ac:dyDescent="0.2">
      <c r="E2968" s="70"/>
      <c r="FT2968" s="44"/>
    </row>
    <row r="2969" spans="5:176" x14ac:dyDescent="0.2">
      <c r="E2969" s="70"/>
      <c r="FT2969" s="44"/>
    </row>
    <row r="2970" spans="5:176" x14ac:dyDescent="0.2">
      <c r="E2970" s="70"/>
      <c r="FT2970" s="44"/>
    </row>
    <row r="2971" spans="5:176" x14ac:dyDescent="0.2">
      <c r="E2971" s="70"/>
      <c r="FT2971" s="44"/>
    </row>
    <row r="2972" spans="5:176" x14ac:dyDescent="0.2">
      <c r="E2972" s="70"/>
      <c r="FT2972" s="44"/>
    </row>
    <row r="2973" spans="5:176" x14ac:dyDescent="0.2">
      <c r="E2973" s="70"/>
      <c r="FT2973" s="44"/>
    </row>
    <row r="2974" spans="5:176" x14ac:dyDescent="0.2">
      <c r="E2974" s="70"/>
      <c r="FT2974" s="44"/>
    </row>
    <row r="2975" spans="5:176" x14ac:dyDescent="0.2">
      <c r="E2975" s="70"/>
      <c r="FT2975" s="44"/>
    </row>
    <row r="2976" spans="5:176" x14ac:dyDescent="0.2">
      <c r="E2976" s="70"/>
      <c r="FT2976" s="44"/>
    </row>
    <row r="2977" spans="5:176" x14ac:dyDescent="0.2">
      <c r="E2977" s="70"/>
      <c r="FT2977" s="44"/>
    </row>
    <row r="2978" spans="5:176" x14ac:dyDescent="0.2">
      <c r="E2978" s="70"/>
      <c r="FT2978" s="44"/>
    </row>
    <row r="2979" spans="5:176" x14ac:dyDescent="0.2">
      <c r="E2979" s="70"/>
      <c r="FT2979" s="44"/>
    </row>
    <row r="2980" spans="5:176" x14ac:dyDescent="0.2">
      <c r="E2980" s="70"/>
      <c r="FT2980" s="44"/>
    </row>
    <row r="2981" spans="5:176" x14ac:dyDescent="0.2">
      <c r="E2981" s="70"/>
      <c r="FT2981" s="44"/>
    </row>
    <row r="2982" spans="5:176" x14ac:dyDescent="0.2">
      <c r="E2982" s="70"/>
      <c r="FT2982" s="44"/>
    </row>
    <row r="2983" spans="5:176" x14ac:dyDescent="0.2">
      <c r="E2983" s="70"/>
      <c r="FT2983" s="44"/>
    </row>
    <row r="2984" spans="5:176" x14ac:dyDescent="0.2">
      <c r="E2984" s="70"/>
      <c r="FT2984" s="44"/>
    </row>
    <row r="2985" spans="5:176" x14ac:dyDescent="0.2">
      <c r="E2985" s="70"/>
      <c r="FT2985" s="44"/>
    </row>
    <row r="2986" spans="5:176" x14ac:dyDescent="0.2">
      <c r="E2986" s="70"/>
      <c r="FT2986" s="44"/>
    </row>
    <row r="2987" spans="5:176" x14ac:dyDescent="0.2">
      <c r="E2987" s="70"/>
      <c r="FT2987" s="44"/>
    </row>
    <row r="2988" spans="5:176" x14ac:dyDescent="0.2">
      <c r="E2988" s="70"/>
      <c r="FT2988" s="44"/>
    </row>
    <row r="2989" spans="5:176" x14ac:dyDescent="0.2">
      <c r="E2989" s="70"/>
      <c r="FT2989" s="44"/>
    </row>
    <row r="2990" spans="5:176" x14ac:dyDescent="0.2">
      <c r="E2990" s="70"/>
      <c r="FT2990" s="44"/>
    </row>
    <row r="2991" spans="5:176" x14ac:dyDescent="0.2">
      <c r="E2991" s="70"/>
      <c r="FT2991" s="44"/>
    </row>
    <row r="2992" spans="5:176" x14ac:dyDescent="0.2">
      <c r="E2992" s="70"/>
      <c r="FT2992" s="44"/>
    </row>
    <row r="2993" spans="5:176" x14ac:dyDescent="0.2">
      <c r="E2993" s="70"/>
      <c r="FT2993" s="44"/>
    </row>
    <row r="2994" spans="5:176" x14ac:dyDescent="0.2">
      <c r="E2994" s="70"/>
      <c r="FT2994" s="44"/>
    </row>
    <row r="2995" spans="5:176" x14ac:dyDescent="0.2">
      <c r="E2995" s="70"/>
      <c r="FT2995" s="44"/>
    </row>
    <row r="2996" spans="5:176" x14ac:dyDescent="0.2">
      <c r="E2996" s="70"/>
      <c r="FT2996" s="44"/>
    </row>
    <row r="2997" spans="5:176" x14ac:dyDescent="0.2">
      <c r="E2997" s="70"/>
      <c r="FT2997" s="44"/>
    </row>
    <row r="2998" spans="5:176" x14ac:dyDescent="0.2">
      <c r="E2998" s="70"/>
      <c r="FT2998" s="44"/>
    </row>
    <row r="2999" spans="5:176" x14ac:dyDescent="0.2">
      <c r="E2999" s="70"/>
      <c r="FT2999" s="44"/>
    </row>
    <row r="3000" spans="5:176" x14ac:dyDescent="0.2">
      <c r="E3000" s="70"/>
      <c r="FT3000" s="44"/>
    </row>
    <row r="3001" spans="5:176" x14ac:dyDescent="0.2">
      <c r="E3001" s="70"/>
      <c r="FT3001" s="44"/>
    </row>
    <row r="3002" spans="5:176" x14ac:dyDescent="0.2">
      <c r="E3002" s="70"/>
      <c r="FT3002" s="44"/>
    </row>
    <row r="3003" spans="5:176" x14ac:dyDescent="0.2">
      <c r="E3003" s="70"/>
      <c r="FT3003" s="44"/>
    </row>
    <row r="3004" spans="5:176" x14ac:dyDescent="0.2">
      <c r="E3004" s="70"/>
      <c r="FT3004" s="44"/>
    </row>
    <row r="3005" spans="5:176" x14ac:dyDescent="0.2">
      <c r="E3005" s="70"/>
      <c r="FT3005" s="44"/>
    </row>
    <row r="3006" spans="5:176" x14ac:dyDescent="0.2">
      <c r="E3006" s="70"/>
      <c r="FT3006" s="44"/>
    </row>
    <row r="3007" spans="5:176" x14ac:dyDescent="0.2">
      <c r="E3007" s="70"/>
      <c r="FT3007" s="44"/>
    </row>
    <row r="3008" spans="5:176" x14ac:dyDescent="0.2">
      <c r="E3008" s="70"/>
      <c r="FT3008" s="44"/>
    </row>
    <row r="3009" spans="5:176" x14ac:dyDescent="0.2">
      <c r="E3009" s="70"/>
      <c r="FT3009" s="44"/>
    </row>
    <row r="3010" spans="5:176" x14ac:dyDescent="0.2">
      <c r="E3010" s="70"/>
      <c r="FT3010" s="44"/>
    </row>
    <row r="3011" spans="5:176" x14ac:dyDescent="0.2">
      <c r="E3011" s="70"/>
      <c r="FT3011" s="44"/>
    </row>
    <row r="3012" spans="5:176" x14ac:dyDescent="0.2">
      <c r="E3012" s="70"/>
      <c r="FT3012" s="44"/>
    </row>
    <row r="3013" spans="5:176" x14ac:dyDescent="0.2">
      <c r="E3013" s="70"/>
      <c r="FT3013" s="44"/>
    </row>
    <row r="3014" spans="5:176" x14ac:dyDescent="0.2">
      <c r="E3014" s="70"/>
      <c r="FT3014" s="44"/>
    </row>
    <row r="3015" spans="5:176" x14ac:dyDescent="0.2">
      <c r="E3015" s="70"/>
      <c r="FT3015" s="44"/>
    </row>
    <row r="3016" spans="5:176" x14ac:dyDescent="0.2">
      <c r="E3016" s="70"/>
      <c r="FT3016" s="44"/>
    </row>
    <row r="3017" spans="5:176" x14ac:dyDescent="0.2">
      <c r="E3017" s="70"/>
      <c r="FT3017" s="44"/>
    </row>
    <row r="3018" spans="5:176" x14ac:dyDescent="0.2">
      <c r="E3018" s="70"/>
      <c r="FT3018" s="44"/>
    </row>
    <row r="3019" spans="5:176" x14ac:dyDescent="0.2">
      <c r="E3019" s="70"/>
      <c r="FT3019" s="44"/>
    </row>
    <row r="3020" spans="5:176" x14ac:dyDescent="0.2">
      <c r="E3020" s="70"/>
      <c r="FT3020" s="44"/>
    </row>
    <row r="3021" spans="5:176" x14ac:dyDescent="0.2">
      <c r="E3021" s="70"/>
      <c r="FT3021" s="44"/>
    </row>
    <row r="3022" spans="5:176" x14ac:dyDescent="0.2">
      <c r="E3022" s="70"/>
      <c r="FT3022" s="44"/>
    </row>
    <row r="3023" spans="5:176" x14ac:dyDescent="0.2">
      <c r="E3023" s="70"/>
      <c r="FT3023" s="44"/>
    </row>
    <row r="3024" spans="5:176" x14ac:dyDescent="0.2">
      <c r="E3024" s="70"/>
      <c r="FT3024" s="44"/>
    </row>
    <row r="3025" spans="5:176" x14ac:dyDescent="0.2">
      <c r="E3025" s="70"/>
      <c r="FT3025" s="44"/>
    </row>
    <row r="3026" spans="5:176" x14ac:dyDescent="0.2">
      <c r="E3026" s="70"/>
      <c r="FT3026" s="44"/>
    </row>
    <row r="3027" spans="5:176" x14ac:dyDescent="0.2">
      <c r="E3027" s="70"/>
      <c r="FT3027" s="44"/>
    </row>
    <row r="3028" spans="5:176" x14ac:dyDescent="0.2">
      <c r="E3028" s="70"/>
      <c r="FT3028" s="44"/>
    </row>
    <row r="3029" spans="5:176" x14ac:dyDescent="0.2">
      <c r="E3029" s="70"/>
      <c r="FT3029" s="44"/>
    </row>
    <row r="3030" spans="5:176" x14ac:dyDescent="0.2">
      <c r="E3030" s="70"/>
      <c r="FT3030" s="44"/>
    </row>
    <row r="3031" spans="5:176" x14ac:dyDescent="0.2">
      <c r="E3031" s="70"/>
      <c r="FT3031" s="44"/>
    </row>
    <row r="3032" spans="5:176" x14ac:dyDescent="0.2">
      <c r="E3032" s="70"/>
      <c r="FT3032" s="44"/>
    </row>
    <row r="3033" spans="5:176" x14ac:dyDescent="0.2">
      <c r="E3033" s="70"/>
      <c r="FT3033" s="44"/>
    </row>
    <row r="3034" spans="5:176" x14ac:dyDescent="0.2">
      <c r="E3034" s="70"/>
      <c r="FT3034" s="44"/>
    </row>
    <row r="3035" spans="5:176" x14ac:dyDescent="0.2">
      <c r="E3035" s="70"/>
      <c r="FT3035" s="44"/>
    </row>
    <row r="3036" spans="5:176" x14ac:dyDescent="0.2">
      <c r="E3036" s="70"/>
      <c r="FT3036" s="44"/>
    </row>
    <row r="3037" spans="5:176" x14ac:dyDescent="0.2">
      <c r="E3037" s="70"/>
      <c r="FT3037" s="44"/>
    </row>
    <row r="3038" spans="5:176" x14ac:dyDescent="0.2">
      <c r="E3038" s="70"/>
      <c r="FT3038" s="44"/>
    </row>
    <row r="3039" spans="5:176" x14ac:dyDescent="0.2">
      <c r="E3039" s="70"/>
      <c r="FT3039" s="44"/>
    </row>
    <row r="3040" spans="5:176" x14ac:dyDescent="0.2">
      <c r="E3040" s="70"/>
      <c r="FT3040" s="44"/>
    </row>
    <row r="3041" spans="5:176" x14ac:dyDescent="0.2">
      <c r="E3041" s="70"/>
      <c r="FT3041" s="44"/>
    </row>
    <row r="3042" spans="5:176" x14ac:dyDescent="0.2">
      <c r="E3042" s="70"/>
      <c r="FT3042" s="44"/>
    </row>
    <row r="3043" spans="5:176" x14ac:dyDescent="0.2">
      <c r="E3043" s="70"/>
      <c r="FT3043" s="44"/>
    </row>
    <row r="3044" spans="5:176" x14ac:dyDescent="0.2">
      <c r="E3044" s="70"/>
      <c r="FT3044" s="44"/>
    </row>
    <row r="3045" spans="5:176" x14ac:dyDescent="0.2">
      <c r="E3045" s="70"/>
      <c r="FT3045" s="44"/>
    </row>
    <row r="3046" spans="5:176" x14ac:dyDescent="0.2">
      <c r="E3046" s="70"/>
      <c r="FT3046" s="44"/>
    </row>
    <row r="3047" spans="5:176" x14ac:dyDescent="0.2">
      <c r="E3047" s="70"/>
      <c r="FT3047" s="44"/>
    </row>
    <row r="3048" spans="5:176" x14ac:dyDescent="0.2">
      <c r="E3048" s="70"/>
      <c r="FT3048" s="44"/>
    </row>
    <row r="3049" spans="5:176" x14ac:dyDescent="0.2">
      <c r="E3049" s="70"/>
      <c r="FT3049" s="44"/>
    </row>
    <row r="3050" spans="5:176" x14ac:dyDescent="0.2">
      <c r="E3050" s="70"/>
      <c r="FT3050" s="44"/>
    </row>
    <row r="3051" spans="5:176" x14ac:dyDescent="0.2">
      <c r="E3051" s="70"/>
      <c r="FT3051" s="44"/>
    </row>
    <row r="3052" spans="5:176" x14ac:dyDescent="0.2">
      <c r="E3052" s="70"/>
      <c r="FT3052" s="44"/>
    </row>
    <row r="3053" spans="5:176" x14ac:dyDescent="0.2">
      <c r="E3053" s="70"/>
      <c r="FT3053" s="44"/>
    </row>
    <row r="3054" spans="5:176" x14ac:dyDescent="0.2">
      <c r="E3054" s="70"/>
      <c r="FT3054" s="44"/>
    </row>
    <row r="3055" spans="5:176" x14ac:dyDescent="0.2">
      <c r="E3055" s="70"/>
      <c r="FT3055" s="44"/>
    </row>
    <row r="3056" spans="5:176" x14ac:dyDescent="0.2">
      <c r="E3056" s="70"/>
      <c r="FT3056" s="44"/>
    </row>
    <row r="3057" spans="5:176" x14ac:dyDescent="0.2">
      <c r="E3057" s="70"/>
      <c r="FT3057" s="44"/>
    </row>
    <row r="3058" spans="5:176" x14ac:dyDescent="0.2">
      <c r="E3058" s="70"/>
      <c r="FT3058" s="44"/>
    </row>
    <row r="3059" spans="5:176" x14ac:dyDescent="0.2">
      <c r="E3059" s="70"/>
      <c r="FT3059" s="44"/>
    </row>
    <row r="3060" spans="5:176" x14ac:dyDescent="0.2">
      <c r="E3060" s="70"/>
      <c r="FT3060" s="44"/>
    </row>
    <row r="3061" spans="5:176" x14ac:dyDescent="0.2">
      <c r="E3061" s="70"/>
      <c r="FT3061" s="44"/>
    </row>
    <row r="3062" spans="5:176" x14ac:dyDescent="0.2">
      <c r="E3062" s="70"/>
      <c r="FT3062" s="44"/>
    </row>
    <row r="3063" spans="5:176" x14ac:dyDescent="0.2">
      <c r="E3063" s="70"/>
      <c r="FT3063" s="44"/>
    </row>
    <row r="3064" spans="5:176" x14ac:dyDescent="0.2">
      <c r="E3064" s="70"/>
      <c r="FT3064" s="44"/>
    </row>
    <row r="3065" spans="5:176" x14ac:dyDescent="0.2">
      <c r="E3065" s="70"/>
      <c r="FT3065" s="44"/>
    </row>
    <row r="3066" spans="5:176" x14ac:dyDescent="0.2">
      <c r="E3066" s="70"/>
      <c r="FT3066" s="44"/>
    </row>
    <row r="3067" spans="5:176" x14ac:dyDescent="0.2">
      <c r="E3067" s="70"/>
      <c r="FT3067" s="44"/>
    </row>
    <row r="3068" spans="5:176" x14ac:dyDescent="0.2">
      <c r="E3068" s="70"/>
      <c r="FT3068" s="44"/>
    </row>
    <row r="3069" spans="5:176" x14ac:dyDescent="0.2">
      <c r="E3069" s="70"/>
      <c r="FT3069" s="44"/>
    </row>
    <row r="3070" spans="5:176" x14ac:dyDescent="0.2">
      <c r="E3070" s="70"/>
      <c r="FT3070" s="44"/>
    </row>
    <row r="3071" spans="5:176" x14ac:dyDescent="0.2">
      <c r="E3071" s="70"/>
      <c r="FT3071" s="44"/>
    </row>
    <row r="3072" spans="5:176" x14ac:dyDescent="0.2">
      <c r="E3072" s="70"/>
      <c r="FT3072" s="44"/>
    </row>
    <row r="3073" spans="5:176" x14ac:dyDescent="0.2">
      <c r="E3073" s="70"/>
      <c r="FT3073" s="44"/>
    </row>
    <row r="3074" spans="5:176" x14ac:dyDescent="0.2">
      <c r="E3074" s="70"/>
      <c r="FT3074" s="44"/>
    </row>
    <row r="3075" spans="5:176" x14ac:dyDescent="0.2">
      <c r="E3075" s="70"/>
      <c r="FT3075" s="44"/>
    </row>
    <row r="3076" spans="5:176" x14ac:dyDescent="0.2">
      <c r="E3076" s="70"/>
      <c r="FT3076" s="44"/>
    </row>
    <row r="3077" spans="5:176" x14ac:dyDescent="0.2">
      <c r="E3077" s="70"/>
      <c r="FT3077" s="44"/>
    </row>
    <row r="3078" spans="5:176" x14ac:dyDescent="0.2">
      <c r="E3078" s="70"/>
      <c r="FT3078" s="44"/>
    </row>
    <row r="3079" spans="5:176" x14ac:dyDescent="0.2">
      <c r="E3079" s="70"/>
      <c r="FT3079" s="44"/>
    </row>
    <row r="3080" spans="5:176" x14ac:dyDescent="0.2">
      <c r="E3080" s="70"/>
      <c r="FT3080" s="44"/>
    </row>
    <row r="3081" spans="5:176" x14ac:dyDescent="0.2">
      <c r="E3081" s="70"/>
      <c r="FT3081" s="44"/>
    </row>
    <row r="3082" spans="5:176" x14ac:dyDescent="0.2">
      <c r="E3082" s="70"/>
      <c r="FT3082" s="44"/>
    </row>
    <row r="3083" spans="5:176" x14ac:dyDescent="0.2">
      <c r="E3083" s="70"/>
      <c r="FT3083" s="44"/>
    </row>
    <row r="3084" spans="5:176" x14ac:dyDescent="0.2">
      <c r="E3084" s="70"/>
      <c r="FT3084" s="44"/>
    </row>
    <row r="3085" spans="5:176" x14ac:dyDescent="0.2">
      <c r="E3085" s="70"/>
      <c r="FT3085" s="44"/>
    </row>
    <row r="3086" spans="5:176" x14ac:dyDescent="0.2">
      <c r="E3086" s="70"/>
      <c r="FT3086" s="44"/>
    </row>
    <row r="3087" spans="5:176" x14ac:dyDescent="0.2">
      <c r="E3087" s="70"/>
      <c r="FT3087" s="44"/>
    </row>
    <row r="3088" spans="5:176" x14ac:dyDescent="0.2">
      <c r="E3088" s="70"/>
      <c r="FT3088" s="44"/>
    </row>
    <row r="3089" spans="5:176" x14ac:dyDescent="0.2">
      <c r="E3089" s="70"/>
      <c r="FT3089" s="44"/>
    </row>
    <row r="3090" spans="5:176" x14ac:dyDescent="0.2">
      <c r="E3090" s="70"/>
      <c r="FT3090" s="44"/>
    </row>
    <row r="3091" spans="5:176" x14ac:dyDescent="0.2">
      <c r="E3091" s="70"/>
      <c r="FT3091" s="44"/>
    </row>
    <row r="3092" spans="5:176" x14ac:dyDescent="0.2">
      <c r="E3092" s="70"/>
      <c r="FT3092" s="44"/>
    </row>
    <row r="3093" spans="5:176" x14ac:dyDescent="0.2">
      <c r="E3093" s="70"/>
      <c r="FT3093" s="44"/>
    </row>
    <row r="3094" spans="5:176" x14ac:dyDescent="0.2">
      <c r="E3094" s="70"/>
      <c r="FT3094" s="44"/>
    </row>
    <row r="3095" spans="5:176" x14ac:dyDescent="0.2">
      <c r="E3095" s="70"/>
      <c r="FT3095" s="44"/>
    </row>
    <row r="3096" spans="5:176" x14ac:dyDescent="0.2">
      <c r="E3096" s="70"/>
      <c r="FT3096" s="44"/>
    </row>
    <row r="3097" spans="5:176" x14ac:dyDescent="0.2">
      <c r="E3097" s="70"/>
      <c r="FT3097" s="44"/>
    </row>
    <row r="3098" spans="5:176" x14ac:dyDescent="0.2">
      <c r="E3098" s="70"/>
      <c r="FT3098" s="44"/>
    </row>
    <row r="3099" spans="5:176" x14ac:dyDescent="0.2">
      <c r="E3099" s="70"/>
      <c r="FT3099" s="44"/>
    </row>
    <row r="3100" spans="5:176" x14ac:dyDescent="0.2">
      <c r="E3100" s="70"/>
      <c r="FT3100" s="44"/>
    </row>
    <row r="3101" spans="5:176" x14ac:dyDescent="0.2">
      <c r="E3101" s="70"/>
      <c r="FT3101" s="44"/>
    </row>
    <row r="3102" spans="5:176" x14ac:dyDescent="0.2">
      <c r="E3102" s="70"/>
      <c r="FT3102" s="44"/>
    </row>
    <row r="3103" spans="5:176" x14ac:dyDescent="0.2">
      <c r="E3103" s="70"/>
      <c r="FT3103" s="44"/>
    </row>
    <row r="3104" spans="5:176" x14ac:dyDescent="0.2">
      <c r="E3104" s="70"/>
      <c r="FT3104" s="44"/>
    </row>
    <row r="3105" spans="5:176" x14ac:dyDescent="0.2">
      <c r="E3105" s="70"/>
      <c r="FT3105" s="44"/>
    </row>
    <row r="3106" spans="5:176" x14ac:dyDescent="0.2">
      <c r="E3106" s="70"/>
      <c r="FT3106" s="44"/>
    </row>
    <row r="3107" spans="5:176" x14ac:dyDescent="0.2">
      <c r="E3107" s="70"/>
      <c r="FT3107" s="44"/>
    </row>
    <row r="3108" spans="5:176" x14ac:dyDescent="0.2">
      <c r="E3108" s="70"/>
      <c r="FT3108" s="44"/>
    </row>
    <row r="3109" spans="5:176" x14ac:dyDescent="0.2">
      <c r="E3109" s="70"/>
      <c r="FT3109" s="44"/>
    </row>
    <row r="3110" spans="5:176" x14ac:dyDescent="0.2">
      <c r="E3110" s="70"/>
      <c r="FT3110" s="44"/>
    </row>
    <row r="3111" spans="5:176" x14ac:dyDescent="0.2">
      <c r="E3111" s="70"/>
      <c r="FT3111" s="44"/>
    </row>
    <row r="3112" spans="5:176" x14ac:dyDescent="0.2">
      <c r="E3112" s="70"/>
      <c r="FT3112" s="44"/>
    </row>
    <row r="3113" spans="5:176" x14ac:dyDescent="0.2">
      <c r="E3113" s="70"/>
      <c r="FT3113" s="44"/>
    </row>
    <row r="3114" spans="5:176" x14ac:dyDescent="0.2">
      <c r="E3114" s="70"/>
      <c r="FT3114" s="44"/>
    </row>
    <row r="3115" spans="5:176" x14ac:dyDescent="0.2">
      <c r="E3115" s="70"/>
      <c r="FT3115" s="44"/>
    </row>
    <row r="3116" spans="5:176" x14ac:dyDescent="0.2">
      <c r="E3116" s="70"/>
      <c r="FT3116" s="44"/>
    </row>
    <row r="3117" spans="5:176" x14ac:dyDescent="0.2">
      <c r="E3117" s="70"/>
      <c r="FT3117" s="44"/>
    </row>
    <row r="3118" spans="5:176" x14ac:dyDescent="0.2">
      <c r="E3118" s="70"/>
      <c r="FT3118" s="44"/>
    </row>
    <row r="3119" spans="5:176" x14ac:dyDescent="0.2">
      <c r="E3119" s="70"/>
      <c r="FT3119" s="44"/>
    </row>
    <row r="3120" spans="5:176" x14ac:dyDescent="0.2">
      <c r="E3120" s="70"/>
      <c r="FT3120" s="44"/>
    </row>
    <row r="3121" spans="5:176" x14ac:dyDescent="0.2">
      <c r="E3121" s="70"/>
      <c r="FT3121" s="44"/>
    </row>
    <row r="3122" spans="5:176" x14ac:dyDescent="0.2">
      <c r="E3122" s="70"/>
      <c r="FT3122" s="44"/>
    </row>
    <row r="3123" spans="5:176" x14ac:dyDescent="0.2">
      <c r="E3123" s="70"/>
      <c r="FT3123" s="44"/>
    </row>
    <row r="3124" spans="5:176" x14ac:dyDescent="0.2">
      <c r="E3124" s="70"/>
      <c r="FT3124" s="44"/>
    </row>
    <row r="3125" spans="5:176" x14ac:dyDescent="0.2">
      <c r="E3125" s="70"/>
      <c r="FT3125" s="44"/>
    </row>
    <row r="3126" spans="5:176" x14ac:dyDescent="0.2">
      <c r="E3126" s="70"/>
      <c r="FT3126" s="44"/>
    </row>
    <row r="3127" spans="5:176" x14ac:dyDescent="0.2">
      <c r="E3127" s="70"/>
      <c r="FT3127" s="44"/>
    </row>
    <row r="3128" spans="5:176" x14ac:dyDescent="0.2">
      <c r="E3128" s="70"/>
      <c r="FT3128" s="44"/>
    </row>
    <row r="3129" spans="5:176" x14ac:dyDescent="0.2">
      <c r="E3129" s="70"/>
      <c r="FT3129" s="44"/>
    </row>
    <row r="3130" spans="5:176" x14ac:dyDescent="0.2">
      <c r="E3130" s="70"/>
      <c r="FT3130" s="44"/>
    </row>
    <row r="3131" spans="5:176" x14ac:dyDescent="0.2">
      <c r="E3131" s="70"/>
      <c r="FT3131" s="44"/>
    </row>
    <row r="3132" spans="5:176" x14ac:dyDescent="0.2">
      <c r="E3132" s="70"/>
      <c r="FT3132" s="44"/>
    </row>
    <row r="3133" spans="5:176" x14ac:dyDescent="0.2">
      <c r="E3133" s="70"/>
      <c r="FT3133" s="44"/>
    </row>
    <row r="3134" spans="5:176" x14ac:dyDescent="0.2">
      <c r="E3134" s="70"/>
      <c r="FT3134" s="44"/>
    </row>
    <row r="3135" spans="5:176" x14ac:dyDescent="0.2">
      <c r="E3135" s="70"/>
      <c r="FT3135" s="44"/>
    </row>
    <row r="3136" spans="5:176" x14ac:dyDescent="0.2">
      <c r="E3136" s="70"/>
      <c r="FT3136" s="44"/>
    </row>
    <row r="3137" spans="5:176" x14ac:dyDescent="0.2">
      <c r="E3137" s="70"/>
      <c r="FT3137" s="44"/>
    </row>
    <row r="3138" spans="5:176" x14ac:dyDescent="0.2">
      <c r="E3138" s="70"/>
      <c r="FT3138" s="44"/>
    </row>
    <row r="3139" spans="5:176" x14ac:dyDescent="0.2">
      <c r="E3139" s="70"/>
      <c r="FT3139" s="44"/>
    </row>
    <row r="3140" spans="5:176" x14ac:dyDescent="0.2">
      <c r="E3140" s="70"/>
      <c r="FT3140" s="44"/>
    </row>
    <row r="3141" spans="5:176" x14ac:dyDescent="0.2">
      <c r="E3141" s="70"/>
      <c r="FT3141" s="44"/>
    </row>
    <row r="3142" spans="5:176" x14ac:dyDescent="0.2">
      <c r="E3142" s="70"/>
      <c r="FT3142" s="44"/>
    </row>
    <row r="3143" spans="5:176" x14ac:dyDescent="0.2">
      <c r="E3143" s="70"/>
      <c r="FT3143" s="44"/>
    </row>
    <row r="3144" spans="5:176" x14ac:dyDescent="0.2">
      <c r="E3144" s="70"/>
      <c r="FT3144" s="44"/>
    </row>
    <row r="3145" spans="5:176" x14ac:dyDescent="0.2">
      <c r="E3145" s="70"/>
      <c r="FT3145" s="44"/>
    </row>
    <row r="3146" spans="5:176" x14ac:dyDescent="0.2">
      <c r="E3146" s="70"/>
      <c r="FT3146" s="44"/>
    </row>
    <row r="3147" spans="5:176" x14ac:dyDescent="0.2">
      <c r="E3147" s="70"/>
      <c r="FT3147" s="44"/>
    </row>
    <row r="3148" spans="5:176" x14ac:dyDescent="0.2">
      <c r="E3148" s="70"/>
      <c r="FT3148" s="44"/>
    </row>
    <row r="3149" spans="5:176" x14ac:dyDescent="0.2">
      <c r="E3149" s="70"/>
      <c r="FT3149" s="44"/>
    </row>
    <row r="3150" spans="5:176" x14ac:dyDescent="0.2">
      <c r="E3150" s="70"/>
      <c r="FT3150" s="44"/>
    </row>
    <row r="3151" spans="5:176" x14ac:dyDescent="0.2">
      <c r="E3151" s="70"/>
      <c r="FT3151" s="44"/>
    </row>
    <row r="3152" spans="5:176" x14ac:dyDescent="0.2">
      <c r="E3152" s="70"/>
      <c r="FT3152" s="44"/>
    </row>
    <row r="3153" spans="5:176" x14ac:dyDescent="0.2">
      <c r="E3153" s="70"/>
      <c r="FT3153" s="44"/>
    </row>
    <row r="3154" spans="5:176" x14ac:dyDescent="0.2">
      <c r="E3154" s="70"/>
      <c r="FT3154" s="44"/>
    </row>
    <row r="3155" spans="5:176" x14ac:dyDescent="0.2">
      <c r="E3155" s="70"/>
      <c r="FT3155" s="44"/>
    </row>
    <row r="3156" spans="5:176" x14ac:dyDescent="0.2">
      <c r="E3156" s="70"/>
      <c r="FT3156" s="44"/>
    </row>
    <row r="3157" spans="5:176" x14ac:dyDescent="0.2">
      <c r="E3157" s="70"/>
      <c r="FT3157" s="44"/>
    </row>
    <row r="3158" spans="5:176" x14ac:dyDescent="0.2">
      <c r="E3158" s="70"/>
      <c r="FT3158" s="44"/>
    </row>
    <row r="3159" spans="5:176" x14ac:dyDescent="0.2">
      <c r="E3159" s="70"/>
      <c r="FT3159" s="44"/>
    </row>
    <row r="3160" spans="5:176" x14ac:dyDescent="0.2">
      <c r="E3160" s="70"/>
      <c r="FT3160" s="44"/>
    </row>
    <row r="3161" spans="5:176" x14ac:dyDescent="0.2">
      <c r="E3161" s="70"/>
      <c r="FT3161" s="44"/>
    </row>
    <row r="3162" spans="5:176" x14ac:dyDescent="0.2">
      <c r="E3162" s="70"/>
      <c r="FT3162" s="44"/>
    </row>
    <row r="3163" spans="5:176" x14ac:dyDescent="0.2">
      <c r="E3163" s="70"/>
      <c r="FT3163" s="44"/>
    </row>
    <row r="3164" spans="5:176" x14ac:dyDescent="0.2">
      <c r="E3164" s="70"/>
      <c r="FT3164" s="44"/>
    </row>
    <row r="3165" spans="5:176" x14ac:dyDescent="0.2">
      <c r="E3165" s="70"/>
      <c r="FT3165" s="44"/>
    </row>
    <row r="3166" spans="5:176" x14ac:dyDescent="0.2">
      <c r="E3166" s="70"/>
      <c r="FT3166" s="44"/>
    </row>
    <row r="3167" spans="5:176" x14ac:dyDescent="0.2">
      <c r="E3167" s="70"/>
      <c r="FT3167" s="44"/>
    </row>
    <row r="3168" spans="5:176" x14ac:dyDescent="0.2">
      <c r="E3168" s="70"/>
      <c r="FT3168" s="44"/>
    </row>
    <row r="3169" spans="5:176" x14ac:dyDescent="0.2">
      <c r="E3169" s="70"/>
      <c r="FT3169" s="44"/>
    </row>
    <row r="3170" spans="5:176" x14ac:dyDescent="0.2">
      <c r="E3170" s="70"/>
      <c r="FT3170" s="44"/>
    </row>
    <row r="3171" spans="5:176" x14ac:dyDescent="0.2">
      <c r="E3171" s="70"/>
      <c r="FT3171" s="44"/>
    </row>
    <row r="3172" spans="5:176" x14ac:dyDescent="0.2">
      <c r="E3172" s="70"/>
      <c r="FT3172" s="44"/>
    </row>
    <row r="3173" spans="5:176" x14ac:dyDescent="0.2">
      <c r="E3173" s="70"/>
      <c r="FT3173" s="44"/>
    </row>
    <row r="3174" spans="5:176" x14ac:dyDescent="0.2">
      <c r="E3174" s="70"/>
      <c r="FT3174" s="44"/>
    </row>
    <row r="3175" spans="5:176" x14ac:dyDescent="0.2">
      <c r="E3175" s="70"/>
      <c r="FT3175" s="44"/>
    </row>
    <row r="3176" spans="5:176" x14ac:dyDescent="0.2">
      <c r="E3176" s="70"/>
      <c r="FT3176" s="44"/>
    </row>
    <row r="3177" spans="5:176" x14ac:dyDescent="0.2">
      <c r="E3177" s="70"/>
      <c r="FT3177" s="44"/>
    </row>
    <row r="3178" spans="5:176" x14ac:dyDescent="0.2">
      <c r="E3178" s="70"/>
      <c r="FT3178" s="44"/>
    </row>
    <row r="3179" spans="5:176" x14ac:dyDescent="0.2">
      <c r="E3179" s="70"/>
      <c r="FT3179" s="44"/>
    </row>
    <row r="3180" spans="5:176" x14ac:dyDescent="0.2">
      <c r="E3180" s="70"/>
      <c r="FT3180" s="44"/>
    </row>
    <row r="3181" spans="5:176" x14ac:dyDescent="0.2">
      <c r="E3181" s="70"/>
      <c r="FT3181" s="44"/>
    </row>
    <row r="3182" spans="5:176" x14ac:dyDescent="0.2">
      <c r="E3182" s="70"/>
      <c r="FT3182" s="44"/>
    </row>
    <row r="3183" spans="5:176" x14ac:dyDescent="0.2">
      <c r="E3183" s="70"/>
      <c r="FT3183" s="44"/>
    </row>
    <row r="3184" spans="5:176" x14ac:dyDescent="0.2">
      <c r="E3184" s="70"/>
      <c r="FT3184" s="44"/>
    </row>
    <row r="3185" spans="5:176" x14ac:dyDescent="0.2">
      <c r="E3185" s="70"/>
      <c r="FT3185" s="44"/>
    </row>
    <row r="3186" spans="5:176" x14ac:dyDescent="0.2">
      <c r="E3186" s="70"/>
      <c r="FT3186" s="44"/>
    </row>
    <row r="3187" spans="5:176" x14ac:dyDescent="0.2">
      <c r="E3187" s="70"/>
      <c r="FT3187" s="44"/>
    </row>
    <row r="3188" spans="5:176" x14ac:dyDescent="0.2">
      <c r="E3188" s="70"/>
      <c r="FT3188" s="44"/>
    </row>
    <row r="3189" spans="5:176" x14ac:dyDescent="0.2">
      <c r="E3189" s="70"/>
      <c r="FT3189" s="44"/>
    </row>
    <row r="3190" spans="5:176" x14ac:dyDescent="0.2">
      <c r="E3190" s="70"/>
      <c r="FT3190" s="44"/>
    </row>
    <row r="3191" spans="5:176" x14ac:dyDescent="0.2">
      <c r="E3191" s="70"/>
      <c r="FT3191" s="44"/>
    </row>
    <row r="3192" spans="5:176" x14ac:dyDescent="0.2">
      <c r="E3192" s="70"/>
      <c r="FT3192" s="44"/>
    </row>
    <row r="3193" spans="5:176" x14ac:dyDescent="0.2">
      <c r="E3193" s="70"/>
      <c r="FT3193" s="44"/>
    </row>
    <row r="3194" spans="5:176" x14ac:dyDescent="0.2">
      <c r="E3194" s="70"/>
      <c r="FT3194" s="44"/>
    </row>
    <row r="3195" spans="5:176" x14ac:dyDescent="0.2">
      <c r="E3195" s="70"/>
      <c r="FT3195" s="44"/>
    </row>
    <row r="3196" spans="5:176" x14ac:dyDescent="0.2">
      <c r="E3196" s="70"/>
      <c r="FT3196" s="44"/>
    </row>
    <row r="3197" spans="5:176" x14ac:dyDescent="0.2">
      <c r="E3197" s="70"/>
      <c r="FT3197" s="44"/>
    </row>
    <row r="3198" spans="5:176" x14ac:dyDescent="0.2">
      <c r="E3198" s="70"/>
      <c r="FT3198" s="44"/>
    </row>
    <row r="3199" spans="5:176" x14ac:dyDescent="0.2">
      <c r="E3199" s="70"/>
      <c r="FT3199" s="44"/>
    </row>
    <row r="3200" spans="5:176" x14ac:dyDescent="0.2">
      <c r="E3200" s="70"/>
      <c r="FT3200" s="44"/>
    </row>
    <row r="3201" spans="5:176" x14ac:dyDescent="0.2">
      <c r="E3201" s="70"/>
      <c r="FT3201" s="44"/>
    </row>
    <row r="3202" spans="5:176" x14ac:dyDescent="0.2">
      <c r="E3202" s="70"/>
      <c r="FT3202" s="44"/>
    </row>
    <row r="3203" spans="5:176" x14ac:dyDescent="0.2">
      <c r="E3203" s="70"/>
      <c r="FT3203" s="44"/>
    </row>
    <row r="3204" spans="5:176" x14ac:dyDescent="0.2">
      <c r="E3204" s="70"/>
      <c r="FT3204" s="44"/>
    </row>
    <row r="3205" spans="5:176" x14ac:dyDescent="0.2">
      <c r="E3205" s="70"/>
      <c r="FT3205" s="44"/>
    </row>
    <row r="3206" spans="5:176" x14ac:dyDescent="0.2">
      <c r="E3206" s="70"/>
      <c r="FT3206" s="44"/>
    </row>
    <row r="3207" spans="5:176" x14ac:dyDescent="0.2">
      <c r="E3207" s="70"/>
      <c r="FT3207" s="44"/>
    </row>
    <row r="3208" spans="5:176" x14ac:dyDescent="0.2">
      <c r="E3208" s="70"/>
      <c r="FT3208" s="44"/>
    </row>
    <row r="3209" spans="5:176" x14ac:dyDescent="0.2">
      <c r="E3209" s="70"/>
      <c r="FT3209" s="44"/>
    </row>
    <row r="3210" spans="5:176" x14ac:dyDescent="0.2">
      <c r="E3210" s="70"/>
      <c r="FT3210" s="44"/>
    </row>
    <row r="3211" spans="5:176" x14ac:dyDescent="0.2">
      <c r="E3211" s="70"/>
      <c r="FT3211" s="44"/>
    </row>
    <row r="3212" spans="5:176" x14ac:dyDescent="0.2">
      <c r="E3212" s="70"/>
      <c r="FT3212" s="44"/>
    </row>
    <row r="3213" spans="5:176" x14ac:dyDescent="0.2">
      <c r="E3213" s="70"/>
      <c r="FT3213" s="44"/>
    </row>
    <row r="3214" spans="5:176" x14ac:dyDescent="0.2">
      <c r="E3214" s="70"/>
      <c r="FT3214" s="44"/>
    </row>
    <row r="3215" spans="5:176" x14ac:dyDescent="0.2">
      <c r="E3215" s="70"/>
      <c r="FT3215" s="44"/>
    </row>
    <row r="3216" spans="5:176" x14ac:dyDescent="0.2">
      <c r="E3216" s="70"/>
      <c r="FT3216" s="44"/>
    </row>
    <row r="3217" spans="5:176" x14ac:dyDescent="0.2">
      <c r="E3217" s="70"/>
      <c r="FT3217" s="44"/>
    </row>
    <row r="3218" spans="5:176" x14ac:dyDescent="0.2">
      <c r="E3218" s="70"/>
      <c r="FT3218" s="44"/>
    </row>
    <row r="3219" spans="5:176" x14ac:dyDescent="0.2">
      <c r="E3219" s="70"/>
      <c r="FT3219" s="44"/>
    </row>
    <row r="3220" spans="5:176" x14ac:dyDescent="0.2">
      <c r="E3220" s="70"/>
      <c r="FT3220" s="44"/>
    </row>
    <row r="3221" spans="5:176" x14ac:dyDescent="0.2">
      <c r="E3221" s="70"/>
      <c r="FT3221" s="44"/>
    </row>
    <row r="3222" spans="5:176" x14ac:dyDescent="0.2">
      <c r="E3222" s="70"/>
      <c r="FT3222" s="44"/>
    </row>
    <row r="3223" spans="5:176" x14ac:dyDescent="0.2">
      <c r="E3223" s="70"/>
      <c r="FT3223" s="44"/>
    </row>
    <row r="3224" spans="5:176" x14ac:dyDescent="0.2">
      <c r="E3224" s="70"/>
      <c r="FT3224" s="44"/>
    </row>
    <row r="3225" spans="5:176" x14ac:dyDescent="0.2">
      <c r="E3225" s="70"/>
      <c r="FT3225" s="44"/>
    </row>
    <row r="3226" spans="5:176" x14ac:dyDescent="0.2">
      <c r="E3226" s="70"/>
      <c r="FT3226" s="44"/>
    </row>
    <row r="3227" spans="5:176" x14ac:dyDescent="0.2">
      <c r="E3227" s="70"/>
      <c r="FT3227" s="44"/>
    </row>
    <row r="3228" spans="5:176" x14ac:dyDescent="0.2">
      <c r="E3228" s="70"/>
      <c r="FT3228" s="44"/>
    </row>
    <row r="3229" spans="5:176" x14ac:dyDescent="0.2">
      <c r="E3229" s="70"/>
      <c r="FT3229" s="44"/>
    </row>
    <row r="3230" spans="5:176" x14ac:dyDescent="0.2">
      <c r="E3230" s="70"/>
      <c r="FT3230" s="44"/>
    </row>
    <row r="3231" spans="5:176" x14ac:dyDescent="0.2">
      <c r="E3231" s="70"/>
      <c r="FT3231" s="44"/>
    </row>
    <row r="3232" spans="5:176" x14ac:dyDescent="0.2">
      <c r="E3232" s="70"/>
      <c r="FT3232" s="44"/>
    </row>
    <row r="3233" spans="5:176" x14ac:dyDescent="0.2">
      <c r="E3233" s="70"/>
      <c r="FT3233" s="44"/>
    </row>
    <row r="3234" spans="5:176" x14ac:dyDescent="0.2">
      <c r="E3234" s="70"/>
      <c r="FT3234" s="44"/>
    </row>
    <row r="3235" spans="5:176" x14ac:dyDescent="0.2">
      <c r="E3235" s="70"/>
      <c r="FT3235" s="44"/>
    </row>
    <row r="3236" spans="5:176" x14ac:dyDescent="0.2">
      <c r="E3236" s="70"/>
      <c r="FT3236" s="44"/>
    </row>
    <row r="3237" spans="5:176" x14ac:dyDescent="0.2">
      <c r="E3237" s="70"/>
      <c r="FT3237" s="44"/>
    </row>
    <row r="3238" spans="5:176" x14ac:dyDescent="0.2">
      <c r="E3238" s="70"/>
      <c r="FT3238" s="44"/>
    </row>
    <row r="3239" spans="5:176" x14ac:dyDescent="0.2">
      <c r="E3239" s="70"/>
      <c r="FT3239" s="44"/>
    </row>
    <row r="3240" spans="5:176" x14ac:dyDescent="0.2">
      <c r="E3240" s="70"/>
      <c r="FT3240" s="44"/>
    </row>
    <row r="3241" spans="5:176" x14ac:dyDescent="0.2">
      <c r="E3241" s="70"/>
      <c r="FT3241" s="44"/>
    </row>
    <row r="3242" spans="5:176" x14ac:dyDescent="0.2">
      <c r="E3242" s="70"/>
      <c r="FT3242" s="44"/>
    </row>
    <row r="3243" spans="5:176" x14ac:dyDescent="0.2">
      <c r="E3243" s="70"/>
      <c r="FT3243" s="44"/>
    </row>
    <row r="3244" spans="5:176" x14ac:dyDescent="0.2">
      <c r="E3244" s="70"/>
      <c r="FT3244" s="44"/>
    </row>
    <row r="3245" spans="5:176" x14ac:dyDescent="0.2">
      <c r="E3245" s="70"/>
      <c r="FT3245" s="44"/>
    </row>
    <row r="3246" spans="5:176" x14ac:dyDescent="0.2">
      <c r="E3246" s="70"/>
      <c r="FT3246" s="44"/>
    </row>
    <row r="3247" spans="5:176" x14ac:dyDescent="0.2">
      <c r="E3247" s="70"/>
      <c r="FT3247" s="44"/>
    </row>
    <row r="3248" spans="5:176" x14ac:dyDescent="0.2">
      <c r="E3248" s="70"/>
      <c r="FT3248" s="44"/>
    </row>
    <row r="3249" spans="5:176" x14ac:dyDescent="0.2">
      <c r="E3249" s="70"/>
      <c r="FT3249" s="44"/>
    </row>
    <row r="3250" spans="5:176" x14ac:dyDescent="0.2">
      <c r="E3250" s="70"/>
      <c r="FT3250" s="44"/>
    </row>
    <row r="3251" spans="5:176" x14ac:dyDescent="0.2">
      <c r="E3251" s="70"/>
      <c r="FT3251" s="44"/>
    </row>
    <row r="3252" spans="5:176" x14ac:dyDescent="0.2">
      <c r="E3252" s="70"/>
      <c r="FT3252" s="44"/>
    </row>
    <row r="3253" spans="5:176" x14ac:dyDescent="0.2">
      <c r="E3253" s="70"/>
      <c r="FT3253" s="44"/>
    </row>
    <row r="3254" spans="5:176" x14ac:dyDescent="0.2">
      <c r="E3254" s="70"/>
      <c r="FT3254" s="44"/>
    </row>
    <row r="3255" spans="5:176" x14ac:dyDescent="0.2">
      <c r="E3255" s="70"/>
      <c r="FT3255" s="44"/>
    </row>
    <row r="3256" spans="5:176" x14ac:dyDescent="0.2">
      <c r="E3256" s="70"/>
      <c r="FT3256" s="44"/>
    </row>
    <row r="3257" spans="5:176" x14ac:dyDescent="0.2">
      <c r="E3257" s="70"/>
      <c r="FT3257" s="44"/>
    </row>
    <row r="3258" spans="5:176" x14ac:dyDescent="0.2">
      <c r="E3258" s="70"/>
      <c r="FT3258" s="44"/>
    </row>
    <row r="3259" spans="5:176" x14ac:dyDescent="0.2">
      <c r="E3259" s="70"/>
      <c r="FT3259" s="44"/>
    </row>
    <row r="3260" spans="5:176" x14ac:dyDescent="0.2">
      <c r="E3260" s="70"/>
      <c r="FT3260" s="44"/>
    </row>
    <row r="3261" spans="5:176" x14ac:dyDescent="0.2">
      <c r="E3261" s="70"/>
      <c r="FT3261" s="44"/>
    </row>
    <row r="3262" spans="5:176" x14ac:dyDescent="0.2">
      <c r="E3262" s="70"/>
      <c r="FT3262" s="44"/>
    </row>
    <row r="3263" spans="5:176" x14ac:dyDescent="0.2">
      <c r="E3263" s="70"/>
      <c r="FT3263" s="44"/>
    </row>
    <row r="3264" spans="5:176" x14ac:dyDescent="0.2">
      <c r="E3264" s="70"/>
      <c r="FT3264" s="44"/>
    </row>
    <row r="3265" spans="5:176" x14ac:dyDescent="0.2">
      <c r="E3265" s="70"/>
      <c r="FT3265" s="44"/>
    </row>
    <row r="3266" spans="5:176" x14ac:dyDescent="0.2">
      <c r="E3266" s="70"/>
      <c r="FT3266" s="44"/>
    </row>
    <row r="3267" spans="5:176" x14ac:dyDescent="0.2">
      <c r="E3267" s="70"/>
      <c r="FT3267" s="44"/>
    </row>
    <row r="3268" spans="5:176" x14ac:dyDescent="0.2">
      <c r="E3268" s="70"/>
      <c r="FT3268" s="44"/>
    </row>
    <row r="3269" spans="5:176" x14ac:dyDescent="0.2">
      <c r="E3269" s="70"/>
      <c r="FT3269" s="44"/>
    </row>
    <row r="3270" spans="5:176" x14ac:dyDescent="0.2">
      <c r="E3270" s="70"/>
      <c r="FT3270" s="44"/>
    </row>
    <row r="3271" spans="5:176" x14ac:dyDescent="0.2">
      <c r="E3271" s="70"/>
      <c r="FT3271" s="44"/>
    </row>
    <row r="3272" spans="5:176" x14ac:dyDescent="0.2">
      <c r="E3272" s="70"/>
      <c r="FT3272" s="44"/>
    </row>
    <row r="3273" spans="5:176" x14ac:dyDescent="0.2">
      <c r="E3273" s="70"/>
      <c r="FT3273" s="44"/>
    </row>
    <row r="3274" spans="5:176" x14ac:dyDescent="0.2">
      <c r="E3274" s="70"/>
      <c r="FT3274" s="44"/>
    </row>
    <row r="3275" spans="5:176" x14ac:dyDescent="0.2">
      <c r="E3275" s="70"/>
      <c r="FT3275" s="44"/>
    </row>
    <row r="3276" spans="5:176" x14ac:dyDescent="0.2">
      <c r="E3276" s="70"/>
      <c r="FT3276" s="44"/>
    </row>
    <row r="3277" spans="5:176" x14ac:dyDescent="0.2">
      <c r="E3277" s="70"/>
      <c r="FT3277" s="44"/>
    </row>
    <row r="3278" spans="5:176" x14ac:dyDescent="0.2">
      <c r="E3278" s="70"/>
      <c r="FT3278" s="44"/>
    </row>
    <row r="3279" spans="5:176" x14ac:dyDescent="0.2">
      <c r="E3279" s="70"/>
      <c r="FT3279" s="44"/>
    </row>
    <row r="3280" spans="5:176" x14ac:dyDescent="0.2">
      <c r="E3280" s="70"/>
      <c r="FT3280" s="44"/>
    </row>
    <row r="3281" spans="5:176" x14ac:dyDescent="0.2">
      <c r="E3281" s="70"/>
      <c r="FT3281" s="44"/>
    </row>
    <row r="3282" spans="5:176" x14ac:dyDescent="0.2">
      <c r="E3282" s="70"/>
      <c r="FT3282" s="44"/>
    </row>
    <row r="3283" spans="5:176" x14ac:dyDescent="0.2">
      <c r="E3283" s="70"/>
      <c r="FT3283" s="44"/>
    </row>
    <row r="3284" spans="5:176" x14ac:dyDescent="0.2">
      <c r="E3284" s="70"/>
      <c r="FT3284" s="44"/>
    </row>
    <row r="3285" spans="5:176" x14ac:dyDescent="0.2">
      <c r="E3285" s="70"/>
      <c r="FT3285" s="44"/>
    </row>
    <row r="3286" spans="5:176" x14ac:dyDescent="0.2">
      <c r="E3286" s="70"/>
      <c r="FT3286" s="44"/>
    </row>
    <row r="3287" spans="5:176" x14ac:dyDescent="0.2">
      <c r="E3287" s="70"/>
      <c r="FT3287" s="44"/>
    </row>
    <row r="3288" spans="5:176" x14ac:dyDescent="0.2">
      <c r="E3288" s="70"/>
      <c r="FT3288" s="44"/>
    </row>
    <row r="3289" spans="5:176" x14ac:dyDescent="0.2">
      <c r="E3289" s="70"/>
      <c r="FT3289" s="44"/>
    </row>
    <row r="3290" spans="5:176" x14ac:dyDescent="0.2">
      <c r="E3290" s="70"/>
      <c r="FT3290" s="44"/>
    </row>
    <row r="3291" spans="5:176" x14ac:dyDescent="0.2">
      <c r="E3291" s="70"/>
      <c r="FT3291" s="44"/>
    </row>
    <row r="3292" spans="5:176" x14ac:dyDescent="0.2">
      <c r="E3292" s="70"/>
      <c r="FT3292" s="44"/>
    </row>
    <row r="3293" spans="5:176" x14ac:dyDescent="0.2">
      <c r="E3293" s="70"/>
      <c r="FT3293" s="44"/>
    </row>
    <row r="3294" spans="5:176" x14ac:dyDescent="0.2">
      <c r="E3294" s="70"/>
      <c r="FT3294" s="44"/>
    </row>
    <row r="3295" spans="5:176" x14ac:dyDescent="0.2">
      <c r="E3295" s="70"/>
      <c r="FT3295" s="44"/>
    </row>
    <row r="3296" spans="5:176" x14ac:dyDescent="0.2">
      <c r="E3296" s="70"/>
      <c r="FT3296" s="44"/>
    </row>
    <row r="3297" spans="5:176" x14ac:dyDescent="0.2">
      <c r="E3297" s="70"/>
      <c r="FT3297" s="44"/>
    </row>
    <row r="3298" spans="5:176" x14ac:dyDescent="0.2">
      <c r="E3298" s="70"/>
      <c r="FT3298" s="44"/>
    </row>
    <row r="3299" spans="5:176" x14ac:dyDescent="0.2">
      <c r="E3299" s="70"/>
      <c r="FT3299" s="44"/>
    </row>
    <row r="3300" spans="5:176" x14ac:dyDescent="0.2">
      <c r="E3300" s="70"/>
      <c r="FT3300" s="44"/>
    </row>
    <row r="3301" spans="5:176" x14ac:dyDescent="0.2">
      <c r="E3301" s="70"/>
      <c r="FT3301" s="44"/>
    </row>
    <row r="3302" spans="5:176" x14ac:dyDescent="0.2">
      <c r="E3302" s="70"/>
      <c r="FT3302" s="44"/>
    </row>
    <row r="3303" spans="5:176" x14ac:dyDescent="0.2">
      <c r="E3303" s="70"/>
      <c r="FT3303" s="44"/>
    </row>
    <row r="3304" spans="5:176" x14ac:dyDescent="0.2">
      <c r="E3304" s="70"/>
      <c r="FT3304" s="44"/>
    </row>
    <row r="3305" spans="5:176" x14ac:dyDescent="0.2">
      <c r="E3305" s="70"/>
      <c r="FT3305" s="44"/>
    </row>
    <row r="3306" spans="5:176" x14ac:dyDescent="0.2">
      <c r="E3306" s="70"/>
      <c r="FT3306" s="44"/>
    </row>
    <row r="3307" spans="5:176" x14ac:dyDescent="0.2">
      <c r="E3307" s="70"/>
      <c r="FT3307" s="44"/>
    </row>
    <row r="3308" spans="5:176" x14ac:dyDescent="0.2">
      <c r="E3308" s="70"/>
      <c r="FT3308" s="44"/>
    </row>
    <row r="3309" spans="5:176" x14ac:dyDescent="0.2">
      <c r="E3309" s="70"/>
      <c r="FT3309" s="44"/>
    </row>
    <row r="3310" spans="5:176" x14ac:dyDescent="0.2">
      <c r="E3310" s="70"/>
      <c r="FT3310" s="44"/>
    </row>
    <row r="3311" spans="5:176" x14ac:dyDescent="0.2">
      <c r="E3311" s="70"/>
      <c r="FT3311" s="44"/>
    </row>
    <row r="3312" spans="5:176" x14ac:dyDescent="0.2">
      <c r="E3312" s="70"/>
      <c r="FT3312" s="44"/>
    </row>
    <row r="3313" spans="5:176" x14ac:dyDescent="0.2">
      <c r="E3313" s="70"/>
      <c r="FT3313" s="44"/>
    </row>
    <row r="3314" spans="5:176" x14ac:dyDescent="0.2">
      <c r="E3314" s="70"/>
      <c r="FT3314" s="44"/>
    </row>
    <row r="3315" spans="5:176" x14ac:dyDescent="0.2">
      <c r="E3315" s="70"/>
      <c r="FT3315" s="44"/>
    </row>
    <row r="3316" spans="5:176" x14ac:dyDescent="0.2">
      <c r="E3316" s="70"/>
      <c r="FT3316" s="44"/>
    </row>
    <row r="3317" spans="5:176" x14ac:dyDescent="0.2">
      <c r="E3317" s="70"/>
      <c r="FT3317" s="44"/>
    </row>
    <row r="3318" spans="5:176" x14ac:dyDescent="0.2">
      <c r="E3318" s="70"/>
      <c r="FT3318" s="44"/>
    </row>
    <row r="3319" spans="5:176" x14ac:dyDescent="0.2">
      <c r="E3319" s="70"/>
      <c r="FT3319" s="44"/>
    </row>
    <row r="3320" spans="5:176" x14ac:dyDescent="0.2">
      <c r="E3320" s="70"/>
      <c r="FT3320" s="44"/>
    </row>
    <row r="3321" spans="5:176" x14ac:dyDescent="0.2">
      <c r="E3321" s="70"/>
      <c r="FT3321" s="44"/>
    </row>
    <row r="3322" spans="5:176" x14ac:dyDescent="0.2">
      <c r="E3322" s="70"/>
      <c r="FT3322" s="44"/>
    </row>
    <row r="3323" spans="5:176" x14ac:dyDescent="0.2">
      <c r="E3323" s="70"/>
      <c r="FT3323" s="44"/>
    </row>
    <row r="3324" spans="5:176" x14ac:dyDescent="0.2">
      <c r="E3324" s="70"/>
      <c r="FT3324" s="44"/>
    </row>
    <row r="3325" spans="5:176" x14ac:dyDescent="0.2">
      <c r="E3325" s="70"/>
      <c r="FT3325" s="44"/>
    </row>
    <row r="3326" spans="5:176" x14ac:dyDescent="0.2">
      <c r="E3326" s="70"/>
      <c r="FT3326" s="44"/>
    </row>
    <row r="3327" spans="5:176" x14ac:dyDescent="0.2">
      <c r="E3327" s="70"/>
      <c r="FT3327" s="44"/>
    </row>
    <row r="3328" spans="5:176" x14ac:dyDescent="0.2">
      <c r="E3328" s="70"/>
      <c r="FT3328" s="44"/>
    </row>
    <row r="3329" spans="5:176" x14ac:dyDescent="0.2">
      <c r="E3329" s="70"/>
      <c r="FT3329" s="44"/>
    </row>
    <row r="3330" spans="5:176" x14ac:dyDescent="0.2">
      <c r="E3330" s="70"/>
      <c r="FT3330" s="44"/>
    </row>
    <row r="3331" spans="5:176" x14ac:dyDescent="0.2">
      <c r="E3331" s="70"/>
      <c r="FT3331" s="44"/>
    </row>
    <row r="3332" spans="5:176" x14ac:dyDescent="0.2">
      <c r="E3332" s="70"/>
      <c r="FT3332" s="44"/>
    </row>
    <row r="3333" spans="5:176" x14ac:dyDescent="0.2">
      <c r="E3333" s="70"/>
      <c r="FT3333" s="44"/>
    </row>
    <row r="3334" spans="5:176" x14ac:dyDescent="0.2">
      <c r="E3334" s="70"/>
      <c r="FT3334" s="44"/>
    </row>
    <row r="3335" spans="5:176" x14ac:dyDescent="0.2">
      <c r="E3335" s="70"/>
      <c r="FT3335" s="44"/>
    </row>
    <row r="3336" spans="5:176" x14ac:dyDescent="0.2">
      <c r="E3336" s="70"/>
      <c r="FT3336" s="44"/>
    </row>
    <row r="3337" spans="5:176" x14ac:dyDescent="0.2">
      <c r="E3337" s="70"/>
      <c r="FT3337" s="44"/>
    </row>
    <row r="3338" spans="5:176" x14ac:dyDescent="0.2">
      <c r="E3338" s="70"/>
      <c r="FT3338" s="44"/>
    </row>
    <row r="3339" spans="5:176" x14ac:dyDescent="0.2">
      <c r="E3339" s="70"/>
      <c r="FT3339" s="44"/>
    </row>
    <row r="3340" spans="5:176" x14ac:dyDescent="0.2">
      <c r="E3340" s="70"/>
      <c r="FT3340" s="44"/>
    </row>
    <row r="3341" spans="5:176" x14ac:dyDescent="0.2">
      <c r="E3341" s="70"/>
      <c r="FT3341" s="44"/>
    </row>
    <row r="3342" spans="5:176" x14ac:dyDescent="0.2">
      <c r="E3342" s="70"/>
      <c r="FT3342" s="44"/>
    </row>
    <row r="3343" spans="5:176" x14ac:dyDescent="0.2">
      <c r="E3343" s="70"/>
      <c r="FT3343" s="44"/>
    </row>
    <row r="3344" spans="5:176" x14ac:dyDescent="0.2">
      <c r="E3344" s="70"/>
      <c r="FT3344" s="44"/>
    </row>
    <row r="3345" spans="5:176" x14ac:dyDescent="0.2">
      <c r="E3345" s="70"/>
      <c r="FT3345" s="44"/>
    </row>
    <row r="3346" spans="5:176" x14ac:dyDescent="0.2">
      <c r="E3346" s="70"/>
      <c r="FT3346" s="44"/>
    </row>
    <row r="3347" spans="5:176" x14ac:dyDescent="0.2">
      <c r="E3347" s="70"/>
      <c r="FT3347" s="44"/>
    </row>
    <row r="3348" spans="5:176" x14ac:dyDescent="0.2">
      <c r="E3348" s="70"/>
      <c r="FT3348" s="44"/>
    </row>
    <row r="3349" spans="5:176" x14ac:dyDescent="0.2">
      <c r="E3349" s="70"/>
      <c r="FT3349" s="44"/>
    </row>
    <row r="3350" spans="5:176" x14ac:dyDescent="0.2">
      <c r="E3350" s="70"/>
      <c r="FT3350" s="44"/>
    </row>
    <row r="3351" spans="5:176" x14ac:dyDescent="0.2">
      <c r="E3351" s="70"/>
      <c r="FT3351" s="44"/>
    </row>
    <row r="3352" spans="5:176" x14ac:dyDescent="0.2">
      <c r="E3352" s="70"/>
      <c r="FT3352" s="44"/>
    </row>
    <row r="3353" spans="5:176" x14ac:dyDescent="0.2">
      <c r="E3353" s="70"/>
      <c r="FT3353" s="44"/>
    </row>
    <row r="3354" spans="5:176" x14ac:dyDescent="0.2">
      <c r="E3354" s="70"/>
      <c r="FT3354" s="44"/>
    </row>
    <row r="3355" spans="5:176" x14ac:dyDescent="0.2">
      <c r="E3355" s="70"/>
      <c r="FT3355" s="44"/>
    </row>
    <row r="3356" spans="5:176" x14ac:dyDescent="0.2">
      <c r="E3356" s="70"/>
      <c r="FT3356" s="44"/>
    </row>
    <row r="3357" spans="5:176" x14ac:dyDescent="0.2">
      <c r="E3357" s="70"/>
      <c r="FT3357" s="44"/>
    </row>
    <row r="3358" spans="5:176" x14ac:dyDescent="0.2">
      <c r="E3358" s="70"/>
      <c r="FT3358" s="44"/>
    </row>
    <row r="3359" spans="5:176" x14ac:dyDescent="0.2">
      <c r="E3359" s="70"/>
      <c r="FT3359" s="44"/>
    </row>
    <row r="3360" spans="5:176" x14ac:dyDescent="0.2">
      <c r="E3360" s="70"/>
      <c r="FT3360" s="44"/>
    </row>
    <row r="3361" spans="5:176" x14ac:dyDescent="0.2">
      <c r="E3361" s="70"/>
      <c r="FT3361" s="44"/>
    </row>
    <row r="3362" spans="5:176" x14ac:dyDescent="0.2">
      <c r="E3362" s="70"/>
      <c r="FT3362" s="44"/>
    </row>
    <row r="3363" spans="5:176" x14ac:dyDescent="0.2">
      <c r="E3363" s="70"/>
      <c r="FT3363" s="44"/>
    </row>
    <row r="3364" spans="5:176" x14ac:dyDescent="0.2">
      <c r="E3364" s="70"/>
      <c r="FT3364" s="44"/>
    </row>
    <row r="3365" spans="5:176" x14ac:dyDescent="0.2">
      <c r="E3365" s="70"/>
      <c r="FT3365" s="44"/>
    </row>
    <row r="3366" spans="5:176" x14ac:dyDescent="0.2">
      <c r="E3366" s="70"/>
      <c r="FT3366" s="44"/>
    </row>
    <row r="3367" spans="5:176" x14ac:dyDescent="0.2">
      <c r="E3367" s="70"/>
      <c r="FT3367" s="44"/>
    </row>
    <row r="3368" spans="5:176" x14ac:dyDescent="0.2">
      <c r="E3368" s="70"/>
      <c r="FT3368" s="44"/>
    </row>
    <row r="3369" spans="5:176" x14ac:dyDescent="0.2">
      <c r="E3369" s="70"/>
      <c r="FT3369" s="44"/>
    </row>
    <row r="3370" spans="5:176" x14ac:dyDescent="0.2">
      <c r="E3370" s="70"/>
      <c r="FT3370" s="44"/>
    </row>
    <row r="3371" spans="5:176" x14ac:dyDescent="0.2">
      <c r="E3371" s="70"/>
      <c r="FT3371" s="44"/>
    </row>
    <row r="3372" spans="5:176" x14ac:dyDescent="0.2">
      <c r="E3372" s="70"/>
      <c r="FT3372" s="44"/>
    </row>
    <row r="3373" spans="5:176" x14ac:dyDescent="0.2">
      <c r="E3373" s="70"/>
      <c r="FT3373" s="44"/>
    </row>
    <row r="3374" spans="5:176" x14ac:dyDescent="0.2">
      <c r="E3374" s="70"/>
      <c r="FT3374" s="44"/>
    </row>
    <row r="3375" spans="5:176" x14ac:dyDescent="0.2">
      <c r="E3375" s="70"/>
      <c r="FT3375" s="44"/>
    </row>
    <row r="3376" spans="5:176" x14ac:dyDescent="0.2">
      <c r="E3376" s="70"/>
      <c r="FT3376" s="44"/>
    </row>
    <row r="3377" spans="5:176" x14ac:dyDescent="0.2">
      <c r="E3377" s="70"/>
      <c r="FT3377" s="44"/>
    </row>
    <row r="3378" spans="5:176" x14ac:dyDescent="0.2">
      <c r="E3378" s="70"/>
      <c r="FT3378" s="44"/>
    </row>
    <row r="3379" spans="5:176" x14ac:dyDescent="0.2">
      <c r="E3379" s="70"/>
      <c r="FT3379" s="44"/>
    </row>
    <row r="3380" spans="5:176" x14ac:dyDescent="0.2">
      <c r="E3380" s="70"/>
      <c r="FT3380" s="44"/>
    </row>
    <row r="3381" spans="5:176" x14ac:dyDescent="0.2">
      <c r="E3381" s="70"/>
      <c r="FT3381" s="44"/>
    </row>
    <row r="3382" spans="5:176" x14ac:dyDescent="0.2">
      <c r="E3382" s="70"/>
      <c r="FT3382" s="44"/>
    </row>
    <row r="3383" spans="5:176" x14ac:dyDescent="0.2">
      <c r="E3383" s="70"/>
      <c r="FT3383" s="44"/>
    </row>
    <row r="3384" spans="5:176" x14ac:dyDescent="0.2">
      <c r="E3384" s="70"/>
      <c r="FT3384" s="44"/>
    </row>
    <row r="3385" spans="5:176" x14ac:dyDescent="0.2">
      <c r="E3385" s="70"/>
      <c r="FT3385" s="44"/>
    </row>
    <row r="3386" spans="5:176" x14ac:dyDescent="0.2">
      <c r="E3386" s="70"/>
      <c r="FT3386" s="44"/>
    </row>
    <row r="3387" spans="5:176" x14ac:dyDescent="0.2">
      <c r="E3387" s="70"/>
      <c r="FT3387" s="44"/>
    </row>
    <row r="3388" spans="5:176" x14ac:dyDescent="0.2">
      <c r="E3388" s="70"/>
      <c r="FT3388" s="44"/>
    </row>
    <row r="3389" spans="5:176" x14ac:dyDescent="0.2">
      <c r="E3389" s="70"/>
      <c r="FT3389" s="44"/>
    </row>
    <row r="3390" spans="5:176" x14ac:dyDescent="0.2">
      <c r="E3390" s="70"/>
      <c r="FT3390" s="44"/>
    </row>
    <row r="3391" spans="5:176" x14ac:dyDescent="0.2">
      <c r="E3391" s="70"/>
      <c r="FT3391" s="44"/>
    </row>
    <row r="3392" spans="5:176" x14ac:dyDescent="0.2">
      <c r="E3392" s="70"/>
      <c r="FT3392" s="44"/>
    </row>
    <row r="3393" spans="5:176" x14ac:dyDescent="0.2">
      <c r="E3393" s="70"/>
      <c r="FT3393" s="44"/>
    </row>
    <row r="3394" spans="5:176" x14ac:dyDescent="0.2">
      <c r="E3394" s="70"/>
      <c r="FT3394" s="44"/>
    </row>
    <row r="3395" spans="5:176" x14ac:dyDescent="0.2">
      <c r="E3395" s="70"/>
      <c r="FT3395" s="44"/>
    </row>
    <row r="3396" spans="5:176" x14ac:dyDescent="0.2">
      <c r="E3396" s="70"/>
      <c r="FT3396" s="44"/>
    </row>
    <row r="3397" spans="5:176" x14ac:dyDescent="0.2">
      <c r="E3397" s="70"/>
      <c r="FT3397" s="44"/>
    </row>
    <row r="3398" spans="5:176" x14ac:dyDescent="0.2">
      <c r="E3398" s="70"/>
      <c r="FT3398" s="44"/>
    </row>
    <row r="3399" spans="5:176" x14ac:dyDescent="0.2">
      <c r="E3399" s="70"/>
      <c r="FT3399" s="44"/>
    </row>
    <row r="3400" spans="5:176" x14ac:dyDescent="0.2">
      <c r="E3400" s="70"/>
      <c r="FT3400" s="44"/>
    </row>
    <row r="3401" spans="5:176" x14ac:dyDescent="0.2">
      <c r="E3401" s="70"/>
      <c r="FT3401" s="44"/>
    </row>
    <row r="3402" spans="5:176" x14ac:dyDescent="0.2">
      <c r="E3402" s="70"/>
      <c r="FT3402" s="44"/>
    </row>
    <row r="3403" spans="5:176" x14ac:dyDescent="0.2">
      <c r="E3403" s="70"/>
      <c r="FT3403" s="44"/>
    </row>
    <row r="3404" spans="5:176" x14ac:dyDescent="0.2">
      <c r="E3404" s="70"/>
      <c r="FT3404" s="44"/>
    </row>
    <row r="3405" spans="5:176" x14ac:dyDescent="0.2">
      <c r="E3405" s="70"/>
      <c r="FT3405" s="44"/>
    </row>
    <row r="3406" spans="5:176" x14ac:dyDescent="0.2">
      <c r="E3406" s="70"/>
      <c r="FT3406" s="44"/>
    </row>
    <row r="3407" spans="5:176" x14ac:dyDescent="0.2">
      <c r="E3407" s="70"/>
      <c r="FT3407" s="44"/>
    </row>
    <row r="3408" spans="5:176" x14ac:dyDescent="0.2">
      <c r="E3408" s="70"/>
      <c r="FT3408" s="44"/>
    </row>
    <row r="3409" spans="5:176" x14ac:dyDescent="0.2">
      <c r="E3409" s="70"/>
      <c r="FT3409" s="44"/>
    </row>
    <row r="3410" spans="5:176" x14ac:dyDescent="0.2">
      <c r="E3410" s="70"/>
      <c r="FT3410" s="44"/>
    </row>
    <row r="3411" spans="5:176" x14ac:dyDescent="0.2">
      <c r="E3411" s="70"/>
      <c r="FT3411" s="44"/>
    </row>
    <row r="3412" spans="5:176" x14ac:dyDescent="0.2">
      <c r="E3412" s="70"/>
      <c r="FT3412" s="44"/>
    </row>
    <row r="3413" spans="5:176" x14ac:dyDescent="0.2">
      <c r="E3413" s="70"/>
      <c r="FT3413" s="44"/>
    </row>
    <row r="3414" spans="5:176" x14ac:dyDescent="0.2">
      <c r="E3414" s="70"/>
      <c r="FT3414" s="44"/>
    </row>
    <row r="3415" spans="5:176" x14ac:dyDescent="0.2">
      <c r="E3415" s="70"/>
      <c r="FT3415" s="44"/>
    </row>
    <row r="3416" spans="5:176" x14ac:dyDescent="0.2">
      <c r="E3416" s="70"/>
      <c r="FT3416" s="44"/>
    </row>
    <row r="3417" spans="5:176" x14ac:dyDescent="0.2">
      <c r="E3417" s="70"/>
      <c r="FT3417" s="44"/>
    </row>
    <row r="3418" spans="5:176" x14ac:dyDescent="0.2">
      <c r="E3418" s="70"/>
      <c r="FT3418" s="44"/>
    </row>
    <row r="3419" spans="5:176" x14ac:dyDescent="0.2">
      <c r="E3419" s="70"/>
      <c r="FT3419" s="44"/>
    </row>
    <row r="3420" spans="5:176" x14ac:dyDescent="0.2">
      <c r="E3420" s="70"/>
      <c r="FT3420" s="44"/>
    </row>
    <row r="3421" spans="5:176" x14ac:dyDescent="0.2">
      <c r="E3421" s="70"/>
      <c r="FT3421" s="44"/>
    </row>
    <row r="3422" spans="5:176" x14ac:dyDescent="0.2">
      <c r="E3422" s="70"/>
      <c r="FT3422" s="44"/>
    </row>
    <row r="3423" spans="5:176" x14ac:dyDescent="0.2">
      <c r="E3423" s="70"/>
      <c r="FT3423" s="44"/>
    </row>
    <row r="3424" spans="5:176" x14ac:dyDescent="0.2">
      <c r="E3424" s="70"/>
      <c r="FT3424" s="44"/>
    </row>
    <row r="3425" spans="5:176" x14ac:dyDescent="0.2">
      <c r="E3425" s="70"/>
      <c r="FT3425" s="44"/>
    </row>
    <row r="3426" spans="5:176" x14ac:dyDescent="0.2">
      <c r="E3426" s="70"/>
      <c r="FT3426" s="44"/>
    </row>
    <row r="3427" spans="5:176" x14ac:dyDescent="0.2">
      <c r="E3427" s="70"/>
      <c r="FT3427" s="44"/>
    </row>
    <row r="3428" spans="5:176" x14ac:dyDescent="0.2">
      <c r="E3428" s="70"/>
      <c r="FT3428" s="44"/>
    </row>
    <row r="3429" spans="5:176" x14ac:dyDescent="0.2">
      <c r="E3429" s="70"/>
      <c r="FT3429" s="44"/>
    </row>
    <row r="3430" spans="5:176" x14ac:dyDescent="0.2">
      <c r="E3430" s="70"/>
      <c r="FT3430" s="44"/>
    </row>
    <row r="3431" spans="5:176" x14ac:dyDescent="0.2">
      <c r="E3431" s="70"/>
      <c r="FT3431" s="44"/>
    </row>
    <row r="3432" spans="5:176" x14ac:dyDescent="0.2">
      <c r="E3432" s="70"/>
      <c r="FT3432" s="44"/>
    </row>
    <row r="3433" spans="5:176" x14ac:dyDescent="0.2">
      <c r="E3433" s="70"/>
      <c r="FT3433" s="44"/>
    </row>
    <row r="3434" spans="5:176" x14ac:dyDescent="0.2">
      <c r="E3434" s="70"/>
      <c r="FT3434" s="44"/>
    </row>
    <row r="3435" spans="5:176" x14ac:dyDescent="0.2">
      <c r="E3435" s="70"/>
      <c r="FT3435" s="44"/>
    </row>
    <row r="3436" spans="5:176" x14ac:dyDescent="0.2">
      <c r="E3436" s="70"/>
      <c r="FT3436" s="44"/>
    </row>
    <row r="3437" spans="5:176" x14ac:dyDescent="0.2">
      <c r="E3437" s="70"/>
      <c r="FT3437" s="44"/>
    </row>
    <row r="3438" spans="5:176" x14ac:dyDescent="0.2">
      <c r="E3438" s="70"/>
      <c r="FT3438" s="44"/>
    </row>
    <row r="3439" spans="5:176" x14ac:dyDescent="0.2">
      <c r="E3439" s="70"/>
      <c r="FT3439" s="44"/>
    </row>
    <row r="3440" spans="5:176" x14ac:dyDescent="0.2">
      <c r="E3440" s="70"/>
      <c r="FT3440" s="44"/>
    </row>
    <row r="3441" spans="5:176" x14ac:dyDescent="0.2">
      <c r="E3441" s="70"/>
      <c r="FT3441" s="44"/>
    </row>
    <row r="3442" spans="5:176" x14ac:dyDescent="0.2">
      <c r="E3442" s="70"/>
      <c r="FT3442" s="44"/>
    </row>
    <row r="3443" spans="5:176" x14ac:dyDescent="0.2">
      <c r="E3443" s="70"/>
      <c r="FT3443" s="44"/>
    </row>
    <row r="3444" spans="5:176" x14ac:dyDescent="0.2">
      <c r="E3444" s="70"/>
      <c r="FT3444" s="44"/>
    </row>
    <row r="3445" spans="5:176" x14ac:dyDescent="0.2">
      <c r="E3445" s="70"/>
      <c r="FT3445" s="44"/>
    </row>
    <row r="3446" spans="5:176" x14ac:dyDescent="0.2">
      <c r="E3446" s="70"/>
      <c r="FT3446" s="44"/>
    </row>
    <row r="3447" spans="5:176" x14ac:dyDescent="0.2">
      <c r="E3447" s="70"/>
      <c r="FT3447" s="44"/>
    </row>
    <row r="3448" spans="5:176" x14ac:dyDescent="0.2">
      <c r="E3448" s="70"/>
      <c r="FT3448" s="44"/>
    </row>
    <row r="3449" spans="5:176" x14ac:dyDescent="0.2">
      <c r="E3449" s="70"/>
      <c r="FT3449" s="44"/>
    </row>
    <row r="3450" spans="5:176" x14ac:dyDescent="0.2">
      <c r="E3450" s="70"/>
      <c r="FT3450" s="44"/>
    </row>
    <row r="3451" spans="5:176" x14ac:dyDescent="0.2">
      <c r="E3451" s="70"/>
      <c r="FT3451" s="44"/>
    </row>
    <row r="3452" spans="5:176" x14ac:dyDescent="0.2">
      <c r="E3452" s="70"/>
      <c r="FT3452" s="44"/>
    </row>
    <row r="3453" spans="5:176" x14ac:dyDescent="0.2">
      <c r="E3453" s="70"/>
      <c r="FT3453" s="44"/>
    </row>
    <row r="3454" spans="5:176" x14ac:dyDescent="0.2">
      <c r="E3454" s="70"/>
      <c r="FT3454" s="44"/>
    </row>
    <row r="3455" spans="5:176" x14ac:dyDescent="0.2">
      <c r="E3455" s="70"/>
      <c r="FT3455" s="44"/>
    </row>
    <row r="3456" spans="5:176" x14ac:dyDescent="0.2">
      <c r="E3456" s="70"/>
      <c r="FT3456" s="44"/>
    </row>
    <row r="3457" spans="5:176" x14ac:dyDescent="0.2">
      <c r="E3457" s="70"/>
      <c r="FT3457" s="44"/>
    </row>
    <row r="3458" spans="5:176" x14ac:dyDescent="0.2">
      <c r="E3458" s="70"/>
      <c r="FT3458" s="44"/>
    </row>
    <row r="3459" spans="5:176" x14ac:dyDescent="0.2">
      <c r="E3459" s="70"/>
      <c r="FT3459" s="44"/>
    </row>
    <row r="3460" spans="5:176" x14ac:dyDescent="0.2">
      <c r="E3460" s="70"/>
      <c r="FT3460" s="44"/>
    </row>
    <row r="3461" spans="5:176" x14ac:dyDescent="0.2">
      <c r="E3461" s="70"/>
      <c r="FT3461" s="44"/>
    </row>
    <row r="3462" spans="5:176" x14ac:dyDescent="0.2">
      <c r="E3462" s="70"/>
      <c r="FT3462" s="44"/>
    </row>
    <row r="3463" spans="5:176" x14ac:dyDescent="0.2">
      <c r="E3463" s="70"/>
      <c r="FT3463" s="44"/>
    </row>
    <row r="3464" spans="5:176" x14ac:dyDescent="0.2">
      <c r="E3464" s="70"/>
      <c r="FT3464" s="44"/>
    </row>
    <row r="3465" spans="5:176" x14ac:dyDescent="0.2">
      <c r="E3465" s="70"/>
      <c r="FT3465" s="44"/>
    </row>
    <row r="3466" spans="5:176" x14ac:dyDescent="0.2">
      <c r="E3466" s="70"/>
      <c r="FT3466" s="44"/>
    </row>
    <row r="3467" spans="5:176" x14ac:dyDescent="0.2">
      <c r="E3467" s="70"/>
      <c r="FT3467" s="44"/>
    </row>
    <row r="3468" spans="5:176" x14ac:dyDescent="0.2">
      <c r="E3468" s="70"/>
      <c r="FT3468" s="44"/>
    </row>
    <row r="3469" spans="5:176" x14ac:dyDescent="0.2">
      <c r="E3469" s="70"/>
      <c r="FT3469" s="44"/>
    </row>
    <row r="3470" spans="5:176" x14ac:dyDescent="0.2">
      <c r="E3470" s="70"/>
      <c r="FT3470" s="44"/>
    </row>
    <row r="3471" spans="5:176" x14ac:dyDescent="0.2">
      <c r="E3471" s="70"/>
      <c r="FT3471" s="44"/>
    </row>
    <row r="3472" spans="5:176" x14ac:dyDescent="0.2">
      <c r="E3472" s="70"/>
      <c r="FT3472" s="44"/>
    </row>
    <row r="3473" spans="5:176" x14ac:dyDescent="0.2">
      <c r="E3473" s="70"/>
      <c r="FT3473" s="44"/>
    </row>
    <row r="3474" spans="5:176" x14ac:dyDescent="0.2">
      <c r="E3474" s="70"/>
      <c r="FT3474" s="44"/>
    </row>
    <row r="3475" spans="5:176" x14ac:dyDescent="0.2">
      <c r="E3475" s="70"/>
      <c r="FT3475" s="44"/>
    </row>
    <row r="3476" spans="5:176" x14ac:dyDescent="0.2">
      <c r="E3476" s="70"/>
      <c r="FT3476" s="44"/>
    </row>
    <row r="3477" spans="5:176" x14ac:dyDescent="0.2">
      <c r="E3477" s="70"/>
      <c r="FT3477" s="44"/>
    </row>
    <row r="3478" spans="5:176" x14ac:dyDescent="0.2">
      <c r="E3478" s="70"/>
      <c r="FT3478" s="44"/>
    </row>
    <row r="3479" spans="5:176" x14ac:dyDescent="0.2">
      <c r="E3479" s="70"/>
      <c r="FT3479" s="44"/>
    </row>
    <row r="3480" spans="5:176" x14ac:dyDescent="0.2">
      <c r="E3480" s="70"/>
      <c r="FT3480" s="44"/>
    </row>
    <row r="3481" spans="5:176" x14ac:dyDescent="0.2">
      <c r="E3481" s="70"/>
      <c r="FT3481" s="44"/>
    </row>
    <row r="3482" spans="5:176" x14ac:dyDescent="0.2">
      <c r="E3482" s="70"/>
      <c r="FT3482" s="44"/>
    </row>
    <row r="3483" spans="5:176" x14ac:dyDescent="0.2">
      <c r="E3483" s="70"/>
      <c r="FT3483" s="44"/>
    </row>
    <row r="3484" spans="5:176" x14ac:dyDescent="0.2">
      <c r="E3484" s="70"/>
      <c r="FT3484" s="44"/>
    </row>
    <row r="3485" spans="5:176" x14ac:dyDescent="0.2">
      <c r="E3485" s="70"/>
      <c r="FT3485" s="44"/>
    </row>
    <row r="3486" spans="5:176" x14ac:dyDescent="0.2">
      <c r="E3486" s="70"/>
      <c r="FT3486" s="44"/>
    </row>
    <row r="3487" spans="5:176" x14ac:dyDescent="0.2">
      <c r="E3487" s="70"/>
      <c r="FT3487" s="44"/>
    </row>
    <row r="3488" spans="5:176" x14ac:dyDescent="0.2">
      <c r="E3488" s="70"/>
      <c r="FT3488" s="44"/>
    </row>
    <row r="3489" spans="5:176" x14ac:dyDescent="0.2">
      <c r="E3489" s="70"/>
      <c r="FT3489" s="44"/>
    </row>
    <row r="3490" spans="5:176" x14ac:dyDescent="0.2">
      <c r="E3490" s="70"/>
      <c r="FT3490" s="44"/>
    </row>
    <row r="3491" spans="5:176" x14ac:dyDescent="0.2">
      <c r="E3491" s="70"/>
      <c r="FT3491" s="44"/>
    </row>
    <row r="3492" spans="5:176" x14ac:dyDescent="0.2">
      <c r="E3492" s="70"/>
      <c r="FT3492" s="44"/>
    </row>
    <row r="3493" spans="5:176" x14ac:dyDescent="0.2">
      <c r="E3493" s="70"/>
      <c r="FT3493" s="44"/>
    </row>
    <row r="3494" spans="5:176" x14ac:dyDescent="0.2">
      <c r="E3494" s="70"/>
      <c r="FT3494" s="44"/>
    </row>
    <row r="3495" spans="5:176" x14ac:dyDescent="0.2">
      <c r="E3495" s="70"/>
      <c r="FT3495" s="44"/>
    </row>
    <row r="3496" spans="5:176" x14ac:dyDescent="0.2">
      <c r="E3496" s="70"/>
      <c r="FT3496" s="44"/>
    </row>
    <row r="3497" spans="5:176" x14ac:dyDescent="0.2">
      <c r="E3497" s="70"/>
      <c r="FT3497" s="44"/>
    </row>
    <row r="3498" spans="5:176" x14ac:dyDescent="0.2">
      <c r="E3498" s="70"/>
      <c r="FT3498" s="44"/>
    </row>
    <row r="3499" spans="5:176" x14ac:dyDescent="0.2">
      <c r="E3499" s="70"/>
      <c r="FT3499" s="44"/>
    </row>
    <row r="3500" spans="5:176" x14ac:dyDescent="0.2">
      <c r="E3500" s="70"/>
      <c r="FT3500" s="44"/>
    </row>
    <row r="3501" spans="5:176" x14ac:dyDescent="0.2">
      <c r="E3501" s="70"/>
      <c r="FT3501" s="44"/>
    </row>
    <row r="3502" spans="5:176" x14ac:dyDescent="0.2">
      <c r="E3502" s="70"/>
      <c r="FT3502" s="44"/>
    </row>
    <row r="3503" spans="5:176" x14ac:dyDescent="0.2">
      <c r="E3503" s="70"/>
      <c r="FT3503" s="44"/>
    </row>
    <row r="3504" spans="5:176" x14ac:dyDescent="0.2">
      <c r="E3504" s="70"/>
      <c r="FT3504" s="44"/>
    </row>
    <row r="3505" spans="5:176" x14ac:dyDescent="0.2">
      <c r="E3505" s="70"/>
      <c r="FT3505" s="44"/>
    </row>
    <row r="3506" spans="5:176" x14ac:dyDescent="0.2">
      <c r="E3506" s="70"/>
      <c r="FT3506" s="44"/>
    </row>
    <row r="3507" spans="5:176" x14ac:dyDescent="0.2">
      <c r="E3507" s="70"/>
      <c r="FT3507" s="44"/>
    </row>
    <row r="3508" spans="5:176" x14ac:dyDescent="0.2">
      <c r="E3508" s="70"/>
      <c r="FT3508" s="44"/>
    </row>
    <row r="3509" spans="5:176" x14ac:dyDescent="0.2">
      <c r="E3509" s="70"/>
      <c r="FT3509" s="44"/>
    </row>
    <row r="3510" spans="5:176" x14ac:dyDescent="0.2">
      <c r="E3510" s="70"/>
      <c r="FT3510" s="44"/>
    </row>
    <row r="3511" spans="5:176" x14ac:dyDescent="0.2">
      <c r="E3511" s="70"/>
      <c r="FT3511" s="44"/>
    </row>
    <row r="3512" spans="5:176" x14ac:dyDescent="0.2">
      <c r="E3512" s="70"/>
      <c r="FT3512" s="44"/>
    </row>
    <row r="3513" spans="5:176" x14ac:dyDescent="0.2">
      <c r="E3513" s="70"/>
      <c r="FT3513" s="44"/>
    </row>
    <row r="3514" spans="5:176" x14ac:dyDescent="0.2">
      <c r="E3514" s="70"/>
      <c r="FT3514" s="44"/>
    </row>
    <row r="3515" spans="5:176" x14ac:dyDescent="0.2">
      <c r="E3515" s="70"/>
      <c r="FT3515" s="44"/>
    </row>
    <row r="3516" spans="5:176" x14ac:dyDescent="0.2">
      <c r="E3516" s="70"/>
      <c r="FT3516" s="44"/>
    </row>
    <row r="3517" spans="5:176" x14ac:dyDescent="0.2">
      <c r="E3517" s="70"/>
      <c r="FT3517" s="44"/>
    </row>
    <row r="3518" spans="5:176" x14ac:dyDescent="0.2">
      <c r="E3518" s="70"/>
      <c r="FT3518" s="44"/>
    </row>
    <row r="3519" spans="5:176" x14ac:dyDescent="0.2">
      <c r="E3519" s="70"/>
      <c r="FT3519" s="44"/>
    </row>
    <row r="3520" spans="5:176" x14ac:dyDescent="0.2">
      <c r="E3520" s="70"/>
      <c r="FT3520" s="44"/>
    </row>
    <row r="3521" spans="5:176" x14ac:dyDescent="0.2">
      <c r="E3521" s="70"/>
      <c r="FT3521" s="44"/>
    </row>
    <row r="3522" spans="5:176" x14ac:dyDescent="0.2">
      <c r="E3522" s="70"/>
      <c r="FT3522" s="44"/>
    </row>
    <row r="3523" spans="5:176" x14ac:dyDescent="0.2">
      <c r="E3523" s="70"/>
      <c r="FT3523" s="44"/>
    </row>
    <row r="3524" spans="5:176" x14ac:dyDescent="0.2">
      <c r="E3524" s="70"/>
      <c r="FT3524" s="44"/>
    </row>
    <row r="3525" spans="5:176" x14ac:dyDescent="0.2">
      <c r="E3525" s="70"/>
      <c r="FT3525" s="44"/>
    </row>
    <row r="3526" spans="5:176" x14ac:dyDescent="0.2">
      <c r="E3526" s="70"/>
      <c r="FT3526" s="44"/>
    </row>
    <row r="3527" spans="5:176" x14ac:dyDescent="0.2">
      <c r="E3527" s="70"/>
      <c r="FT3527" s="44"/>
    </row>
    <row r="3528" spans="5:176" x14ac:dyDescent="0.2">
      <c r="E3528" s="70"/>
      <c r="FT3528" s="44"/>
    </row>
    <row r="3529" spans="5:176" x14ac:dyDescent="0.2">
      <c r="E3529" s="70"/>
      <c r="FT3529" s="44"/>
    </row>
    <row r="3530" spans="5:176" x14ac:dyDescent="0.2">
      <c r="E3530" s="70"/>
      <c r="FT3530" s="44"/>
    </row>
    <row r="3531" spans="5:176" x14ac:dyDescent="0.2">
      <c r="E3531" s="70"/>
      <c r="FT3531" s="44"/>
    </row>
    <row r="3532" spans="5:176" x14ac:dyDescent="0.2">
      <c r="E3532" s="70"/>
      <c r="FT3532" s="44"/>
    </row>
    <row r="3533" spans="5:176" x14ac:dyDescent="0.2">
      <c r="E3533" s="70"/>
      <c r="FT3533" s="44"/>
    </row>
    <row r="3534" spans="5:176" x14ac:dyDescent="0.2">
      <c r="E3534" s="70"/>
      <c r="FT3534" s="44"/>
    </row>
    <row r="3535" spans="5:176" x14ac:dyDescent="0.2">
      <c r="E3535" s="70"/>
      <c r="FT3535" s="44"/>
    </row>
    <row r="3536" spans="5:176" x14ac:dyDescent="0.2">
      <c r="E3536" s="70"/>
      <c r="FT3536" s="44"/>
    </row>
    <row r="3537" spans="5:176" x14ac:dyDescent="0.2">
      <c r="E3537" s="70"/>
      <c r="FT3537" s="44"/>
    </row>
    <row r="3538" spans="5:176" x14ac:dyDescent="0.2">
      <c r="E3538" s="70"/>
      <c r="FT3538" s="44"/>
    </row>
    <row r="3539" spans="5:176" x14ac:dyDescent="0.2">
      <c r="E3539" s="70"/>
      <c r="FT3539" s="44"/>
    </row>
    <row r="3540" spans="5:176" x14ac:dyDescent="0.2">
      <c r="E3540" s="70"/>
      <c r="FT3540" s="44"/>
    </row>
    <row r="3541" spans="5:176" x14ac:dyDescent="0.2">
      <c r="E3541" s="70"/>
      <c r="FT3541" s="44"/>
    </row>
    <row r="3542" spans="5:176" x14ac:dyDescent="0.2">
      <c r="E3542" s="70"/>
      <c r="FT3542" s="44"/>
    </row>
    <row r="3543" spans="5:176" x14ac:dyDescent="0.2">
      <c r="E3543" s="70"/>
      <c r="FT3543" s="44"/>
    </row>
    <row r="3544" spans="5:176" x14ac:dyDescent="0.2">
      <c r="E3544" s="70"/>
      <c r="FT3544" s="44"/>
    </row>
    <row r="3545" spans="5:176" x14ac:dyDescent="0.2">
      <c r="E3545" s="70"/>
      <c r="FT3545" s="44"/>
    </row>
    <row r="3546" spans="5:176" x14ac:dyDescent="0.2">
      <c r="E3546" s="70"/>
      <c r="FT3546" s="44"/>
    </row>
    <row r="3547" spans="5:176" x14ac:dyDescent="0.2">
      <c r="E3547" s="70"/>
      <c r="FT3547" s="44"/>
    </row>
    <row r="3548" spans="5:176" x14ac:dyDescent="0.2">
      <c r="E3548" s="70"/>
      <c r="FT3548" s="44"/>
    </row>
    <row r="3549" spans="5:176" x14ac:dyDescent="0.2">
      <c r="E3549" s="70"/>
      <c r="FT3549" s="44"/>
    </row>
    <row r="3550" spans="5:176" x14ac:dyDescent="0.2">
      <c r="E3550" s="70"/>
      <c r="FT3550" s="44"/>
    </row>
    <row r="3551" spans="5:176" x14ac:dyDescent="0.2">
      <c r="E3551" s="70"/>
      <c r="FT3551" s="44"/>
    </row>
    <row r="3552" spans="5:176" x14ac:dyDescent="0.2">
      <c r="E3552" s="70"/>
      <c r="FT3552" s="44"/>
    </row>
    <row r="3553" spans="5:176" x14ac:dyDescent="0.2">
      <c r="E3553" s="70"/>
      <c r="FT3553" s="44"/>
    </row>
    <row r="3554" spans="5:176" x14ac:dyDescent="0.2">
      <c r="E3554" s="70"/>
      <c r="FT3554" s="44"/>
    </row>
    <row r="3555" spans="5:176" x14ac:dyDescent="0.2">
      <c r="E3555" s="70"/>
      <c r="FT3555" s="44"/>
    </row>
    <row r="3556" spans="5:176" x14ac:dyDescent="0.2">
      <c r="E3556" s="70"/>
      <c r="FT3556" s="44"/>
    </row>
    <row r="3557" spans="5:176" x14ac:dyDescent="0.2">
      <c r="E3557" s="70"/>
      <c r="FT3557" s="44"/>
    </row>
    <row r="3558" spans="5:176" x14ac:dyDescent="0.2">
      <c r="E3558" s="70"/>
      <c r="FT3558" s="44"/>
    </row>
    <row r="3559" spans="5:176" x14ac:dyDescent="0.2">
      <c r="E3559" s="70"/>
      <c r="FT3559" s="44"/>
    </row>
    <row r="3560" spans="5:176" x14ac:dyDescent="0.2">
      <c r="E3560" s="70"/>
      <c r="FT3560" s="44"/>
    </row>
    <row r="3561" spans="5:176" x14ac:dyDescent="0.2">
      <c r="E3561" s="70"/>
      <c r="FT3561" s="44"/>
    </row>
    <row r="3562" spans="5:176" x14ac:dyDescent="0.2">
      <c r="E3562" s="70"/>
      <c r="FT3562" s="44"/>
    </row>
    <row r="3563" spans="5:176" x14ac:dyDescent="0.2">
      <c r="E3563" s="70"/>
      <c r="FT3563" s="44"/>
    </row>
    <row r="3564" spans="5:176" x14ac:dyDescent="0.2">
      <c r="E3564" s="70"/>
      <c r="FT3564" s="44"/>
    </row>
    <row r="3565" spans="5:176" x14ac:dyDescent="0.2">
      <c r="E3565" s="70"/>
      <c r="FT3565" s="44"/>
    </row>
    <row r="3566" spans="5:176" x14ac:dyDescent="0.2">
      <c r="E3566" s="70"/>
      <c r="FT3566" s="44"/>
    </row>
    <row r="3567" spans="5:176" x14ac:dyDescent="0.2">
      <c r="E3567" s="70"/>
      <c r="FT3567" s="44"/>
    </row>
    <row r="3568" spans="5:176" x14ac:dyDescent="0.2">
      <c r="E3568" s="70"/>
      <c r="FT3568" s="44"/>
    </row>
    <row r="3569" spans="5:176" x14ac:dyDescent="0.2">
      <c r="E3569" s="70"/>
      <c r="FT3569" s="44"/>
    </row>
    <row r="3570" spans="5:176" x14ac:dyDescent="0.2">
      <c r="E3570" s="70"/>
      <c r="FT3570" s="44"/>
    </row>
    <row r="3571" spans="5:176" x14ac:dyDescent="0.2">
      <c r="E3571" s="70"/>
      <c r="FT3571" s="44"/>
    </row>
    <row r="3572" spans="5:176" x14ac:dyDescent="0.2">
      <c r="E3572" s="70"/>
      <c r="FT3572" s="44"/>
    </row>
    <row r="3573" spans="5:176" x14ac:dyDescent="0.2">
      <c r="E3573" s="70"/>
      <c r="FT3573" s="44"/>
    </row>
    <row r="3574" spans="5:176" x14ac:dyDescent="0.2">
      <c r="E3574" s="70"/>
      <c r="FT3574" s="44"/>
    </row>
    <row r="3575" spans="5:176" x14ac:dyDescent="0.2">
      <c r="E3575" s="70"/>
      <c r="FT3575" s="44"/>
    </row>
    <row r="3576" spans="5:176" x14ac:dyDescent="0.2">
      <c r="E3576" s="70"/>
      <c r="FT3576" s="44"/>
    </row>
    <row r="3577" spans="5:176" x14ac:dyDescent="0.2">
      <c r="E3577" s="70"/>
      <c r="FT3577" s="44"/>
    </row>
    <row r="3578" spans="5:176" x14ac:dyDescent="0.2">
      <c r="E3578" s="70"/>
      <c r="FT3578" s="44"/>
    </row>
    <row r="3579" spans="5:176" x14ac:dyDescent="0.2">
      <c r="E3579" s="70"/>
      <c r="FT3579" s="44"/>
    </row>
    <row r="3580" spans="5:176" x14ac:dyDescent="0.2">
      <c r="E3580" s="70"/>
      <c r="FT3580" s="44"/>
    </row>
    <row r="3581" spans="5:176" x14ac:dyDescent="0.2">
      <c r="E3581" s="70"/>
      <c r="FT3581" s="44"/>
    </row>
    <row r="3582" spans="5:176" x14ac:dyDescent="0.2">
      <c r="E3582" s="70"/>
      <c r="FT3582" s="44"/>
    </row>
    <row r="3583" spans="5:176" x14ac:dyDescent="0.2">
      <c r="E3583" s="70"/>
      <c r="FT3583" s="44"/>
    </row>
    <row r="3584" spans="5:176" x14ac:dyDescent="0.2">
      <c r="E3584" s="70"/>
      <c r="FT3584" s="44"/>
    </row>
    <row r="3585" spans="5:176" x14ac:dyDescent="0.2">
      <c r="E3585" s="70"/>
      <c r="FT3585" s="44"/>
    </row>
    <row r="3586" spans="5:176" x14ac:dyDescent="0.2">
      <c r="E3586" s="70"/>
      <c r="FT3586" s="44"/>
    </row>
    <row r="3587" spans="5:176" x14ac:dyDescent="0.2">
      <c r="E3587" s="70"/>
      <c r="FT3587" s="44"/>
    </row>
    <row r="3588" spans="5:176" x14ac:dyDescent="0.2">
      <c r="E3588" s="70"/>
      <c r="FT3588" s="44"/>
    </row>
    <row r="3589" spans="5:176" x14ac:dyDescent="0.2">
      <c r="E3589" s="70"/>
      <c r="FT3589" s="44"/>
    </row>
    <row r="3590" spans="5:176" x14ac:dyDescent="0.2">
      <c r="E3590" s="70"/>
      <c r="FT3590" s="44"/>
    </row>
    <row r="3591" spans="5:176" x14ac:dyDescent="0.2">
      <c r="E3591" s="70"/>
      <c r="FT3591" s="44"/>
    </row>
    <row r="3592" spans="5:176" x14ac:dyDescent="0.2">
      <c r="E3592" s="70"/>
      <c r="FT3592" s="44"/>
    </row>
    <row r="3593" spans="5:176" x14ac:dyDescent="0.2">
      <c r="E3593" s="70"/>
      <c r="FT3593" s="44"/>
    </row>
    <row r="3594" spans="5:176" x14ac:dyDescent="0.2">
      <c r="E3594" s="70"/>
      <c r="FT3594" s="44"/>
    </row>
    <row r="3595" spans="5:176" x14ac:dyDescent="0.2">
      <c r="E3595" s="70"/>
      <c r="FT3595" s="44"/>
    </row>
    <row r="3596" spans="5:176" x14ac:dyDescent="0.2">
      <c r="E3596" s="70"/>
      <c r="FT3596" s="44"/>
    </row>
    <row r="3597" spans="5:176" x14ac:dyDescent="0.2">
      <c r="E3597" s="70"/>
      <c r="FT3597" s="44"/>
    </row>
    <row r="3598" spans="5:176" x14ac:dyDescent="0.2">
      <c r="E3598" s="70"/>
      <c r="FT3598" s="44"/>
    </row>
    <row r="3599" spans="5:176" x14ac:dyDescent="0.2">
      <c r="E3599" s="70"/>
      <c r="FT3599" s="44"/>
    </row>
    <row r="3600" spans="5:176" x14ac:dyDescent="0.2">
      <c r="E3600" s="70"/>
      <c r="FT3600" s="44"/>
    </row>
    <row r="3601" spans="5:176" x14ac:dyDescent="0.2">
      <c r="E3601" s="70"/>
      <c r="FT3601" s="44"/>
    </row>
    <row r="3602" spans="5:176" x14ac:dyDescent="0.2">
      <c r="E3602" s="70"/>
      <c r="FT3602" s="44"/>
    </row>
    <row r="3603" spans="5:176" x14ac:dyDescent="0.2">
      <c r="E3603" s="70"/>
      <c r="FT3603" s="44"/>
    </row>
    <row r="3604" spans="5:176" x14ac:dyDescent="0.2">
      <c r="E3604" s="70"/>
      <c r="FT3604" s="44"/>
    </row>
    <row r="3605" spans="5:176" x14ac:dyDescent="0.2">
      <c r="E3605" s="70"/>
      <c r="FT3605" s="44"/>
    </row>
    <row r="3606" spans="5:176" x14ac:dyDescent="0.2">
      <c r="E3606" s="70"/>
      <c r="FT3606" s="44"/>
    </row>
    <row r="3607" spans="5:176" x14ac:dyDescent="0.2">
      <c r="E3607" s="70"/>
      <c r="FT3607" s="44"/>
    </row>
    <row r="3608" spans="5:176" x14ac:dyDescent="0.2">
      <c r="E3608" s="70"/>
      <c r="FT3608" s="44"/>
    </row>
    <row r="3609" spans="5:176" x14ac:dyDescent="0.2">
      <c r="E3609" s="70"/>
      <c r="FT3609" s="44"/>
    </row>
    <row r="3610" spans="5:176" x14ac:dyDescent="0.2">
      <c r="E3610" s="70"/>
      <c r="FT3610" s="44"/>
    </row>
    <row r="3611" spans="5:176" x14ac:dyDescent="0.2">
      <c r="E3611" s="70"/>
      <c r="FT3611" s="44"/>
    </row>
    <row r="3612" spans="5:176" x14ac:dyDescent="0.2">
      <c r="E3612" s="70"/>
      <c r="FT3612" s="44"/>
    </row>
    <row r="3613" spans="5:176" x14ac:dyDescent="0.2">
      <c r="E3613" s="70"/>
      <c r="FT3613" s="44"/>
    </row>
    <row r="3614" spans="5:176" x14ac:dyDescent="0.2">
      <c r="E3614" s="70"/>
      <c r="FT3614" s="44"/>
    </row>
    <row r="3615" spans="5:176" x14ac:dyDescent="0.2">
      <c r="E3615" s="70"/>
      <c r="FT3615" s="44"/>
    </row>
    <row r="3616" spans="5:176" x14ac:dyDescent="0.2">
      <c r="E3616" s="70"/>
      <c r="FT3616" s="44"/>
    </row>
    <row r="3617" spans="5:176" x14ac:dyDescent="0.2">
      <c r="E3617" s="70"/>
      <c r="FT3617" s="44"/>
    </row>
    <row r="3618" spans="5:176" x14ac:dyDescent="0.2">
      <c r="E3618" s="70"/>
      <c r="FT3618" s="44"/>
    </row>
    <row r="3619" spans="5:176" x14ac:dyDescent="0.2">
      <c r="E3619" s="70"/>
      <c r="FT3619" s="44"/>
    </row>
    <row r="3620" spans="5:176" x14ac:dyDescent="0.2">
      <c r="E3620" s="70"/>
      <c r="FT3620" s="44"/>
    </row>
    <row r="3621" spans="5:176" x14ac:dyDescent="0.2">
      <c r="E3621" s="70"/>
      <c r="FT3621" s="44"/>
    </row>
    <row r="3622" spans="5:176" x14ac:dyDescent="0.2">
      <c r="E3622" s="70"/>
      <c r="FT3622" s="44"/>
    </row>
    <row r="3623" spans="5:176" x14ac:dyDescent="0.2">
      <c r="E3623" s="70"/>
      <c r="FT3623" s="44"/>
    </row>
    <row r="3624" spans="5:176" x14ac:dyDescent="0.2">
      <c r="E3624" s="70"/>
      <c r="FT3624" s="44"/>
    </row>
    <row r="3625" spans="5:176" x14ac:dyDescent="0.2">
      <c r="E3625" s="70"/>
      <c r="FT3625" s="44"/>
    </row>
    <row r="3626" spans="5:176" x14ac:dyDescent="0.2">
      <c r="E3626" s="70"/>
      <c r="FT3626" s="44"/>
    </row>
    <row r="3627" spans="5:176" x14ac:dyDescent="0.2">
      <c r="E3627" s="70"/>
      <c r="FT3627" s="44"/>
    </row>
    <row r="3628" spans="5:176" x14ac:dyDescent="0.2">
      <c r="E3628" s="70"/>
      <c r="FT3628" s="44"/>
    </row>
    <row r="3629" spans="5:176" x14ac:dyDescent="0.2">
      <c r="E3629" s="70"/>
      <c r="FT3629" s="44"/>
    </row>
    <row r="3630" spans="5:176" x14ac:dyDescent="0.2">
      <c r="E3630" s="70"/>
      <c r="FT3630" s="44"/>
    </row>
    <row r="3631" spans="5:176" x14ac:dyDescent="0.2">
      <c r="E3631" s="70"/>
      <c r="FT3631" s="44"/>
    </row>
    <row r="3632" spans="5:176" x14ac:dyDescent="0.2">
      <c r="E3632" s="70"/>
      <c r="FT3632" s="44"/>
    </row>
    <row r="3633" spans="5:176" x14ac:dyDescent="0.2">
      <c r="E3633" s="70"/>
      <c r="FT3633" s="44"/>
    </row>
    <row r="3634" spans="5:176" x14ac:dyDescent="0.2">
      <c r="E3634" s="70"/>
      <c r="FT3634" s="44"/>
    </row>
    <row r="3635" spans="5:176" x14ac:dyDescent="0.2">
      <c r="E3635" s="70"/>
      <c r="FT3635" s="44"/>
    </row>
    <row r="3636" spans="5:176" x14ac:dyDescent="0.2">
      <c r="E3636" s="70"/>
      <c r="FT3636" s="44"/>
    </row>
    <row r="3637" spans="5:176" x14ac:dyDescent="0.2">
      <c r="E3637" s="70"/>
      <c r="FT3637" s="44"/>
    </row>
    <row r="3638" spans="5:176" x14ac:dyDescent="0.2">
      <c r="E3638" s="70"/>
      <c r="FT3638" s="44"/>
    </row>
    <row r="3639" spans="5:176" x14ac:dyDescent="0.2">
      <c r="E3639" s="70"/>
      <c r="FT3639" s="44"/>
    </row>
    <row r="3640" spans="5:176" x14ac:dyDescent="0.2">
      <c r="E3640" s="70"/>
      <c r="FT3640" s="44"/>
    </row>
    <row r="3641" spans="5:176" x14ac:dyDescent="0.2">
      <c r="E3641" s="70"/>
      <c r="FT3641" s="44"/>
    </row>
    <row r="3642" spans="5:176" x14ac:dyDescent="0.2">
      <c r="E3642" s="70"/>
      <c r="FT3642" s="44"/>
    </row>
    <row r="3643" spans="5:176" x14ac:dyDescent="0.2">
      <c r="E3643" s="70"/>
      <c r="FT3643" s="44"/>
    </row>
    <row r="3644" spans="5:176" x14ac:dyDescent="0.2">
      <c r="E3644" s="70"/>
      <c r="FT3644" s="44"/>
    </row>
    <row r="3645" spans="5:176" x14ac:dyDescent="0.2">
      <c r="E3645" s="70"/>
      <c r="FT3645" s="44"/>
    </row>
    <row r="3646" spans="5:176" x14ac:dyDescent="0.2">
      <c r="E3646" s="70"/>
      <c r="FT3646" s="44"/>
    </row>
    <row r="3647" spans="5:176" x14ac:dyDescent="0.2">
      <c r="E3647" s="70"/>
      <c r="FT3647" s="44"/>
    </row>
    <row r="3648" spans="5:176" x14ac:dyDescent="0.2">
      <c r="E3648" s="70"/>
      <c r="FT3648" s="44"/>
    </row>
    <row r="3649" spans="5:176" x14ac:dyDescent="0.2">
      <c r="E3649" s="70"/>
      <c r="FT3649" s="44"/>
    </row>
    <row r="3650" spans="5:176" x14ac:dyDescent="0.2">
      <c r="E3650" s="70"/>
      <c r="FT3650" s="44"/>
    </row>
    <row r="3651" spans="5:176" x14ac:dyDescent="0.2">
      <c r="E3651" s="70"/>
      <c r="FT3651" s="44"/>
    </row>
    <row r="3652" spans="5:176" x14ac:dyDescent="0.2">
      <c r="E3652" s="70"/>
      <c r="FT3652" s="44"/>
    </row>
    <row r="3653" spans="5:176" x14ac:dyDescent="0.2">
      <c r="E3653" s="70"/>
      <c r="FT3653" s="44"/>
    </row>
    <row r="3654" spans="5:176" x14ac:dyDescent="0.2">
      <c r="E3654" s="70"/>
      <c r="FT3654" s="44"/>
    </row>
    <row r="3655" spans="5:176" x14ac:dyDescent="0.2">
      <c r="E3655" s="70"/>
      <c r="FT3655" s="44"/>
    </row>
    <row r="3656" spans="5:176" x14ac:dyDescent="0.2">
      <c r="E3656" s="70"/>
      <c r="FT3656" s="44"/>
    </row>
    <row r="3657" spans="5:176" x14ac:dyDescent="0.2">
      <c r="E3657" s="70"/>
      <c r="FT3657" s="44"/>
    </row>
    <row r="3658" spans="5:176" x14ac:dyDescent="0.2">
      <c r="E3658" s="70"/>
      <c r="FT3658" s="44"/>
    </row>
    <row r="3659" spans="5:176" x14ac:dyDescent="0.2">
      <c r="E3659" s="70"/>
      <c r="FT3659" s="44"/>
    </row>
    <row r="3660" spans="5:176" x14ac:dyDescent="0.2">
      <c r="E3660" s="70"/>
      <c r="FT3660" s="44"/>
    </row>
    <row r="3661" spans="5:176" x14ac:dyDescent="0.2">
      <c r="E3661" s="70"/>
      <c r="FT3661" s="44"/>
    </row>
    <row r="3662" spans="5:176" x14ac:dyDescent="0.2">
      <c r="E3662" s="70"/>
      <c r="FT3662" s="44"/>
    </row>
    <row r="3663" spans="5:176" x14ac:dyDescent="0.2">
      <c r="E3663" s="70"/>
      <c r="FT3663" s="44"/>
    </row>
    <row r="3664" spans="5:176" x14ac:dyDescent="0.2">
      <c r="E3664" s="70"/>
      <c r="FT3664" s="44"/>
    </row>
    <row r="3665" spans="5:176" x14ac:dyDescent="0.2">
      <c r="E3665" s="70"/>
      <c r="FT3665" s="44"/>
    </row>
    <row r="3666" spans="5:176" x14ac:dyDescent="0.2">
      <c r="E3666" s="70"/>
      <c r="FT3666" s="44"/>
    </row>
    <row r="3667" spans="5:176" x14ac:dyDescent="0.2">
      <c r="E3667" s="70"/>
      <c r="FT3667" s="44"/>
    </row>
    <row r="3668" spans="5:176" x14ac:dyDescent="0.2">
      <c r="E3668" s="70"/>
      <c r="FT3668" s="44"/>
    </row>
    <row r="3669" spans="5:176" x14ac:dyDescent="0.2">
      <c r="E3669" s="70"/>
      <c r="FT3669" s="44"/>
    </row>
    <row r="3670" spans="5:176" x14ac:dyDescent="0.2">
      <c r="E3670" s="70"/>
      <c r="FT3670" s="44"/>
    </row>
    <row r="3671" spans="5:176" x14ac:dyDescent="0.2">
      <c r="E3671" s="70"/>
      <c r="FT3671" s="44"/>
    </row>
    <row r="3672" spans="5:176" x14ac:dyDescent="0.2">
      <c r="E3672" s="70"/>
      <c r="BF3672" s="61"/>
      <c r="FT3672" s="44"/>
    </row>
    <row r="3673" spans="5:176" x14ac:dyDescent="0.2">
      <c r="E3673" s="70"/>
      <c r="FT3673" s="44"/>
    </row>
    <row r="3674" spans="5:176" x14ac:dyDescent="0.2">
      <c r="E3674" s="70"/>
      <c r="FT3674" s="44"/>
    </row>
    <row r="3675" spans="5:176" x14ac:dyDescent="0.2">
      <c r="E3675" s="70"/>
      <c r="FT3675" s="44"/>
    </row>
    <row r="3676" spans="5:176" x14ac:dyDescent="0.2">
      <c r="E3676" s="70"/>
      <c r="FT3676" s="44"/>
    </row>
    <row r="3677" spans="5:176" x14ac:dyDescent="0.2">
      <c r="E3677" s="70"/>
      <c r="FT3677" s="44"/>
    </row>
    <row r="3678" spans="5:176" x14ac:dyDescent="0.2">
      <c r="E3678" s="70"/>
      <c r="FT3678" s="44"/>
    </row>
    <row r="3679" spans="5:176" x14ac:dyDescent="0.2">
      <c r="E3679" s="70"/>
      <c r="FT3679" s="44"/>
    </row>
    <row r="3680" spans="5:176" x14ac:dyDescent="0.2">
      <c r="E3680" s="70"/>
      <c r="FT3680" s="44"/>
    </row>
    <row r="3681" spans="5:176" x14ac:dyDescent="0.2">
      <c r="E3681" s="70"/>
      <c r="FT3681" s="44"/>
    </row>
    <row r="3682" spans="5:176" x14ac:dyDescent="0.2">
      <c r="E3682" s="70"/>
      <c r="FT3682" s="44"/>
    </row>
    <row r="3683" spans="5:176" x14ac:dyDescent="0.2">
      <c r="E3683" s="70"/>
      <c r="FT3683" s="44"/>
    </row>
    <row r="3684" spans="5:176" x14ac:dyDescent="0.2">
      <c r="E3684" s="70"/>
      <c r="FT3684" s="44"/>
    </row>
    <row r="3685" spans="5:176" x14ac:dyDescent="0.2">
      <c r="E3685" s="70"/>
      <c r="FT3685" s="44"/>
    </row>
    <row r="3686" spans="5:176" x14ac:dyDescent="0.2">
      <c r="E3686" s="70"/>
      <c r="FT3686" s="44"/>
    </row>
    <row r="3687" spans="5:176" x14ac:dyDescent="0.2">
      <c r="E3687" s="70"/>
      <c r="FT3687" s="44"/>
    </row>
    <row r="3688" spans="5:176" x14ac:dyDescent="0.2">
      <c r="E3688" s="70"/>
      <c r="FT3688" s="44"/>
    </row>
    <row r="3689" spans="5:176" x14ac:dyDescent="0.2">
      <c r="E3689" s="70"/>
      <c r="FT3689" s="44"/>
    </row>
    <row r="3690" spans="5:176" x14ac:dyDescent="0.2">
      <c r="E3690" s="70"/>
      <c r="FT3690" s="44"/>
    </row>
    <row r="3691" spans="5:176" x14ac:dyDescent="0.2">
      <c r="E3691" s="70"/>
      <c r="FT3691" s="44"/>
    </row>
    <row r="3692" spans="5:176" x14ac:dyDescent="0.2">
      <c r="E3692" s="70"/>
      <c r="FT3692" s="44"/>
    </row>
    <row r="3693" spans="5:176" x14ac:dyDescent="0.2">
      <c r="E3693" s="70"/>
      <c r="FT3693" s="44"/>
    </row>
    <row r="3694" spans="5:176" x14ac:dyDescent="0.2">
      <c r="E3694" s="70"/>
      <c r="FT3694" s="44"/>
    </row>
    <row r="3695" spans="5:176" x14ac:dyDescent="0.2">
      <c r="E3695" s="70"/>
      <c r="FT3695" s="44"/>
    </row>
    <row r="3696" spans="5:176" x14ac:dyDescent="0.2">
      <c r="E3696" s="70"/>
      <c r="FT3696" s="44"/>
    </row>
    <row r="3697" spans="5:176" x14ac:dyDescent="0.2">
      <c r="E3697" s="70"/>
      <c r="FT3697" s="44"/>
    </row>
    <row r="3698" spans="5:176" x14ac:dyDescent="0.2">
      <c r="E3698" s="70"/>
      <c r="FT3698" s="44"/>
    </row>
    <row r="3699" spans="5:176" x14ac:dyDescent="0.2">
      <c r="E3699" s="70"/>
      <c r="FT3699" s="44"/>
    </row>
    <row r="3700" spans="5:176" x14ac:dyDescent="0.2">
      <c r="E3700" s="70"/>
      <c r="FT3700" s="44"/>
    </row>
    <row r="3701" spans="5:176" x14ac:dyDescent="0.2">
      <c r="E3701" s="70"/>
      <c r="FT3701" s="44"/>
    </row>
    <row r="3702" spans="5:176" x14ac:dyDescent="0.2">
      <c r="E3702" s="70"/>
      <c r="FT3702" s="44"/>
    </row>
    <row r="3703" spans="5:176" x14ac:dyDescent="0.2">
      <c r="E3703" s="70"/>
      <c r="FT3703" s="44"/>
    </row>
    <row r="3704" spans="5:176" x14ac:dyDescent="0.2">
      <c r="E3704" s="70"/>
      <c r="FT3704" s="44"/>
    </row>
    <row r="3705" spans="5:176" x14ac:dyDescent="0.2">
      <c r="E3705" s="70"/>
      <c r="FT3705" s="44"/>
    </row>
    <row r="3706" spans="5:176" x14ac:dyDescent="0.2">
      <c r="E3706" s="70"/>
      <c r="FT3706" s="44"/>
    </row>
    <row r="3707" spans="5:176" x14ac:dyDescent="0.2">
      <c r="E3707" s="70"/>
      <c r="FT3707" s="44"/>
    </row>
    <row r="3708" spans="5:176" x14ac:dyDescent="0.2">
      <c r="E3708" s="70"/>
      <c r="FT3708" s="44"/>
    </row>
    <row r="3709" spans="5:176" x14ac:dyDescent="0.2">
      <c r="E3709" s="70"/>
      <c r="FT3709" s="44"/>
    </row>
    <row r="3710" spans="5:176" x14ac:dyDescent="0.2">
      <c r="E3710" s="70"/>
      <c r="FT3710" s="44"/>
    </row>
    <row r="3711" spans="5:176" x14ac:dyDescent="0.2">
      <c r="E3711" s="70"/>
      <c r="FT3711" s="44"/>
    </row>
    <row r="3712" spans="5:176" x14ac:dyDescent="0.2">
      <c r="E3712" s="70"/>
      <c r="FT3712" s="44"/>
    </row>
    <row r="3713" spans="5:176" x14ac:dyDescent="0.2">
      <c r="E3713" s="70"/>
      <c r="FT3713" s="44"/>
    </row>
    <row r="3714" spans="5:176" x14ac:dyDescent="0.2">
      <c r="E3714" s="70"/>
      <c r="FT3714" s="44"/>
    </row>
    <row r="3715" spans="5:176" x14ac:dyDescent="0.2">
      <c r="E3715" s="70"/>
      <c r="FT3715" s="44"/>
    </row>
    <row r="3716" spans="5:176" x14ac:dyDescent="0.2">
      <c r="E3716" s="70"/>
      <c r="FT3716" s="44"/>
    </row>
    <row r="3717" spans="5:176" x14ac:dyDescent="0.2">
      <c r="E3717" s="70"/>
      <c r="FT3717" s="44"/>
    </row>
    <row r="3718" spans="5:176" x14ac:dyDescent="0.2">
      <c r="E3718" s="70"/>
      <c r="FT3718" s="44"/>
    </row>
    <row r="3719" spans="5:176" x14ac:dyDescent="0.2">
      <c r="E3719" s="70"/>
      <c r="FT3719" s="44"/>
    </row>
    <row r="3720" spans="5:176" x14ac:dyDescent="0.2">
      <c r="E3720" s="70"/>
      <c r="FT3720" s="44"/>
    </row>
    <row r="3721" spans="5:176" x14ac:dyDescent="0.2">
      <c r="E3721" s="70"/>
      <c r="FT3721" s="44"/>
    </row>
    <row r="3722" spans="5:176" x14ac:dyDescent="0.2">
      <c r="E3722" s="70"/>
      <c r="FT3722" s="44"/>
    </row>
    <row r="3723" spans="5:176" x14ac:dyDescent="0.2">
      <c r="E3723" s="70"/>
      <c r="FT3723" s="44"/>
    </row>
    <row r="3724" spans="5:176" x14ac:dyDescent="0.2">
      <c r="E3724" s="70"/>
      <c r="FT3724" s="44"/>
    </row>
    <row r="3725" spans="5:176" x14ac:dyDescent="0.2">
      <c r="E3725" s="70"/>
      <c r="FT3725" s="44"/>
    </row>
    <row r="3726" spans="5:176" x14ac:dyDescent="0.2">
      <c r="E3726" s="70"/>
      <c r="FT3726" s="44"/>
    </row>
    <row r="3727" spans="5:176" x14ac:dyDescent="0.2">
      <c r="E3727" s="70"/>
      <c r="FT3727" s="44"/>
    </row>
    <row r="3728" spans="5:176" x14ac:dyDescent="0.2">
      <c r="E3728" s="70"/>
      <c r="FT3728" s="44"/>
    </row>
    <row r="3729" spans="5:176" x14ac:dyDescent="0.2">
      <c r="E3729" s="70"/>
      <c r="FT3729" s="44"/>
    </row>
    <row r="3730" spans="5:176" x14ac:dyDescent="0.2">
      <c r="E3730" s="70"/>
      <c r="FT3730" s="44"/>
    </row>
    <row r="3731" spans="5:176" x14ac:dyDescent="0.2">
      <c r="E3731" s="70"/>
      <c r="FT3731" s="44"/>
    </row>
    <row r="3732" spans="5:176" x14ac:dyDescent="0.2">
      <c r="E3732" s="70"/>
      <c r="FT3732" s="44"/>
    </row>
    <row r="3733" spans="5:176" x14ac:dyDescent="0.2">
      <c r="E3733" s="70"/>
      <c r="FT3733" s="44"/>
    </row>
    <row r="3734" spans="5:176" x14ac:dyDescent="0.2">
      <c r="E3734" s="70"/>
      <c r="FT3734" s="44"/>
    </row>
    <row r="3735" spans="5:176" x14ac:dyDescent="0.2">
      <c r="E3735" s="70"/>
      <c r="FT3735" s="44"/>
    </row>
    <row r="3736" spans="5:176" x14ac:dyDescent="0.2">
      <c r="E3736" s="70"/>
      <c r="FT3736" s="44"/>
    </row>
    <row r="3737" spans="5:176" x14ac:dyDescent="0.2">
      <c r="E3737" s="70"/>
      <c r="FT3737" s="44"/>
    </row>
    <row r="3738" spans="5:176" x14ac:dyDescent="0.2">
      <c r="E3738" s="70"/>
      <c r="FT3738" s="44"/>
    </row>
    <row r="3739" spans="5:176" x14ac:dyDescent="0.2">
      <c r="E3739" s="70"/>
      <c r="FT3739" s="44"/>
    </row>
    <row r="3740" spans="5:176" x14ac:dyDescent="0.2">
      <c r="E3740" s="70"/>
      <c r="FT3740" s="44"/>
    </row>
    <row r="3741" spans="5:176" x14ac:dyDescent="0.2">
      <c r="E3741" s="70"/>
      <c r="FT3741" s="44"/>
    </row>
    <row r="3742" spans="5:176" x14ac:dyDescent="0.2">
      <c r="E3742" s="70"/>
      <c r="FT3742" s="44"/>
    </row>
    <row r="3743" spans="5:176" x14ac:dyDescent="0.2">
      <c r="E3743" s="70"/>
      <c r="FT3743" s="44"/>
    </row>
    <row r="3744" spans="5:176" x14ac:dyDescent="0.2">
      <c r="E3744" s="70"/>
      <c r="FT3744" s="44"/>
    </row>
    <row r="3745" spans="5:176" x14ac:dyDescent="0.2">
      <c r="E3745" s="70"/>
      <c r="FT3745" s="44"/>
    </row>
    <row r="3746" spans="5:176" x14ac:dyDescent="0.2">
      <c r="E3746" s="70"/>
      <c r="FT3746" s="44"/>
    </row>
    <row r="3747" spans="5:176" x14ac:dyDescent="0.2">
      <c r="E3747" s="70"/>
      <c r="FT3747" s="44"/>
    </row>
    <row r="3748" spans="5:176" x14ac:dyDescent="0.2">
      <c r="E3748" s="70"/>
      <c r="FT3748" s="44"/>
    </row>
    <row r="3749" spans="5:176" x14ac:dyDescent="0.2">
      <c r="E3749" s="70"/>
      <c r="FT3749" s="44"/>
    </row>
    <row r="3750" spans="5:176" x14ac:dyDescent="0.2">
      <c r="E3750" s="70"/>
      <c r="FT3750" s="44"/>
    </row>
    <row r="3751" spans="5:176" x14ac:dyDescent="0.2">
      <c r="E3751" s="70"/>
      <c r="FT3751" s="44"/>
    </row>
    <row r="3752" spans="5:176" x14ac:dyDescent="0.2">
      <c r="E3752" s="70"/>
      <c r="FT3752" s="44"/>
    </row>
    <row r="3753" spans="5:176" x14ac:dyDescent="0.2">
      <c r="E3753" s="70"/>
      <c r="FT3753" s="44"/>
    </row>
    <row r="3754" spans="5:176" x14ac:dyDescent="0.2">
      <c r="E3754" s="70"/>
      <c r="FT3754" s="44"/>
    </row>
    <row r="3755" spans="5:176" x14ac:dyDescent="0.2">
      <c r="E3755" s="70"/>
      <c r="FT3755" s="44"/>
    </row>
    <row r="3756" spans="5:176" x14ac:dyDescent="0.2">
      <c r="E3756" s="70"/>
      <c r="FT3756" s="44"/>
    </row>
    <row r="3757" spans="5:176" x14ac:dyDescent="0.2">
      <c r="E3757" s="70"/>
      <c r="FT3757" s="44"/>
    </row>
    <row r="3758" spans="5:176" x14ac:dyDescent="0.2">
      <c r="E3758" s="70"/>
      <c r="FT3758" s="44"/>
    </row>
    <row r="3759" spans="5:176" x14ac:dyDescent="0.2">
      <c r="E3759" s="70"/>
      <c r="FT3759" s="44"/>
    </row>
    <row r="3760" spans="5:176" x14ac:dyDescent="0.2">
      <c r="E3760" s="70"/>
      <c r="FT3760" s="44"/>
    </row>
    <row r="3761" spans="5:176" x14ac:dyDescent="0.2">
      <c r="E3761" s="70"/>
      <c r="FT3761" s="44"/>
    </row>
    <row r="3762" spans="5:176" x14ac:dyDescent="0.2">
      <c r="E3762" s="70"/>
      <c r="FT3762" s="44"/>
    </row>
    <row r="3763" spans="5:176" x14ac:dyDescent="0.2">
      <c r="E3763" s="70"/>
      <c r="FT3763" s="44"/>
    </row>
    <row r="3764" spans="5:176" x14ac:dyDescent="0.2">
      <c r="E3764" s="70"/>
      <c r="FT3764" s="44"/>
    </row>
    <row r="3765" spans="5:176" x14ac:dyDescent="0.2">
      <c r="E3765" s="70"/>
      <c r="FT3765" s="44"/>
    </row>
    <row r="3766" spans="5:176" x14ac:dyDescent="0.2">
      <c r="E3766" s="70"/>
      <c r="FT3766" s="44"/>
    </row>
    <row r="3767" spans="5:176" x14ac:dyDescent="0.2">
      <c r="E3767" s="70"/>
      <c r="FT3767" s="44"/>
    </row>
    <row r="3768" spans="5:176" x14ac:dyDescent="0.2">
      <c r="E3768" s="70"/>
      <c r="FT3768" s="44"/>
    </row>
    <row r="3769" spans="5:176" x14ac:dyDescent="0.2">
      <c r="E3769" s="70"/>
      <c r="FT3769" s="44"/>
    </row>
    <row r="3770" spans="5:176" x14ac:dyDescent="0.2">
      <c r="E3770" s="70"/>
      <c r="FT3770" s="44"/>
    </row>
    <row r="3771" spans="5:176" x14ac:dyDescent="0.2">
      <c r="E3771" s="70"/>
      <c r="FT3771" s="44"/>
    </row>
    <row r="3772" spans="5:176" x14ac:dyDescent="0.2">
      <c r="E3772" s="70"/>
      <c r="FT3772" s="44"/>
    </row>
    <row r="3773" spans="5:176" x14ac:dyDescent="0.2">
      <c r="E3773" s="70"/>
      <c r="FT3773" s="44"/>
    </row>
    <row r="3774" spans="5:176" x14ac:dyDescent="0.2">
      <c r="E3774" s="70"/>
      <c r="FT3774" s="44"/>
    </row>
    <row r="3775" spans="5:176" x14ac:dyDescent="0.2">
      <c r="E3775" s="70"/>
      <c r="FT3775" s="44"/>
    </row>
    <row r="3776" spans="5:176" x14ac:dyDescent="0.2">
      <c r="E3776" s="70"/>
      <c r="FT3776" s="44"/>
    </row>
    <row r="3777" spans="5:176" x14ac:dyDescent="0.2">
      <c r="E3777" s="70"/>
      <c r="FT3777" s="44"/>
    </row>
    <row r="3778" spans="5:176" x14ac:dyDescent="0.2">
      <c r="E3778" s="70"/>
      <c r="FT3778" s="44"/>
    </row>
    <row r="3779" spans="5:176" x14ac:dyDescent="0.2">
      <c r="E3779" s="70"/>
      <c r="FT3779" s="44"/>
    </row>
    <row r="3780" spans="5:176" x14ac:dyDescent="0.2">
      <c r="E3780" s="70"/>
      <c r="FT3780" s="44"/>
    </row>
    <row r="3781" spans="5:176" x14ac:dyDescent="0.2">
      <c r="E3781" s="70"/>
      <c r="FT3781" s="44"/>
    </row>
    <row r="3782" spans="5:176" x14ac:dyDescent="0.2">
      <c r="E3782" s="70"/>
      <c r="FT3782" s="44"/>
    </row>
    <row r="3783" spans="5:176" x14ac:dyDescent="0.2">
      <c r="E3783" s="70"/>
      <c r="FT3783" s="44"/>
    </row>
    <row r="3784" spans="5:176" x14ac:dyDescent="0.2">
      <c r="E3784" s="70"/>
      <c r="FT3784" s="44"/>
    </row>
    <row r="3785" spans="5:176" x14ac:dyDescent="0.2">
      <c r="E3785" s="70"/>
      <c r="FT3785" s="44"/>
    </row>
    <row r="3786" spans="5:176" x14ac:dyDescent="0.2">
      <c r="E3786" s="70"/>
      <c r="FT3786" s="44"/>
    </row>
    <row r="3787" spans="5:176" x14ac:dyDescent="0.2">
      <c r="E3787" s="70"/>
      <c r="FT3787" s="44"/>
    </row>
    <row r="3788" spans="5:176" x14ac:dyDescent="0.2">
      <c r="E3788" s="70"/>
      <c r="FT3788" s="44"/>
    </row>
    <row r="3789" spans="5:176" x14ac:dyDescent="0.2">
      <c r="E3789" s="70"/>
      <c r="FT3789" s="44"/>
    </row>
    <row r="3790" spans="5:176" x14ac:dyDescent="0.2">
      <c r="E3790" s="70"/>
      <c r="FT3790" s="44"/>
    </row>
    <row r="3791" spans="5:176" x14ac:dyDescent="0.2">
      <c r="E3791" s="70"/>
      <c r="FT3791" s="44"/>
    </row>
    <row r="3792" spans="5:176" x14ac:dyDescent="0.2">
      <c r="E3792" s="70"/>
      <c r="FT3792" s="44"/>
    </row>
    <row r="3793" spans="5:176" x14ac:dyDescent="0.2">
      <c r="E3793" s="70"/>
      <c r="FT3793" s="44"/>
    </row>
    <row r="3794" spans="5:176" x14ac:dyDescent="0.2">
      <c r="E3794" s="70"/>
      <c r="FT3794" s="44"/>
    </row>
    <row r="3795" spans="5:176" x14ac:dyDescent="0.2">
      <c r="E3795" s="70"/>
      <c r="FT3795" s="44"/>
    </row>
    <row r="3796" spans="5:176" x14ac:dyDescent="0.2">
      <c r="E3796" s="70"/>
      <c r="FT3796" s="44"/>
    </row>
    <row r="3797" spans="5:176" x14ac:dyDescent="0.2">
      <c r="E3797" s="70"/>
      <c r="FT3797" s="44"/>
    </row>
    <row r="3798" spans="5:176" x14ac:dyDescent="0.2">
      <c r="E3798" s="70"/>
      <c r="FT3798" s="44"/>
    </row>
    <row r="3799" spans="5:176" x14ac:dyDescent="0.2">
      <c r="E3799" s="70"/>
      <c r="FT3799" s="44"/>
    </row>
    <row r="3800" spans="5:176" x14ac:dyDescent="0.2">
      <c r="E3800" s="70"/>
      <c r="FT3800" s="44"/>
    </row>
    <row r="3801" spans="5:176" x14ac:dyDescent="0.2">
      <c r="E3801" s="70"/>
      <c r="FT3801" s="44"/>
    </row>
    <row r="3802" spans="5:176" x14ac:dyDescent="0.2">
      <c r="E3802" s="70"/>
      <c r="FT3802" s="44"/>
    </row>
    <row r="3803" spans="5:176" x14ac:dyDescent="0.2">
      <c r="E3803" s="70"/>
      <c r="FT3803" s="44"/>
    </row>
    <row r="3804" spans="5:176" x14ac:dyDescent="0.2">
      <c r="E3804" s="70"/>
      <c r="FT3804" s="44"/>
    </row>
    <row r="3805" spans="5:176" x14ac:dyDescent="0.2">
      <c r="E3805" s="70"/>
      <c r="FT3805" s="44"/>
    </row>
    <row r="3806" spans="5:176" x14ac:dyDescent="0.2">
      <c r="E3806" s="70"/>
      <c r="FT3806" s="44"/>
    </row>
    <row r="3807" spans="5:176" x14ac:dyDescent="0.2">
      <c r="E3807" s="70"/>
      <c r="FT3807" s="44"/>
    </row>
    <row r="3808" spans="5:176" x14ac:dyDescent="0.2">
      <c r="E3808" s="70"/>
      <c r="FT3808" s="44"/>
    </row>
    <row r="3809" spans="5:176" x14ac:dyDescent="0.2">
      <c r="E3809" s="70"/>
      <c r="FT3809" s="44"/>
    </row>
    <row r="3810" spans="5:176" x14ac:dyDescent="0.2">
      <c r="E3810" s="70"/>
      <c r="FT3810" s="44"/>
    </row>
    <row r="3811" spans="5:176" x14ac:dyDescent="0.2">
      <c r="E3811" s="70"/>
      <c r="FT3811" s="44"/>
    </row>
    <row r="3812" spans="5:176" x14ac:dyDescent="0.2">
      <c r="E3812" s="70"/>
      <c r="FT3812" s="44"/>
    </row>
    <row r="3813" spans="5:176" x14ac:dyDescent="0.2">
      <c r="E3813" s="70"/>
      <c r="FT3813" s="44"/>
    </row>
    <row r="3814" spans="5:176" x14ac:dyDescent="0.2">
      <c r="E3814" s="70"/>
      <c r="FT3814" s="44"/>
    </row>
    <row r="3815" spans="5:176" x14ac:dyDescent="0.2">
      <c r="E3815" s="70"/>
      <c r="FT3815" s="44"/>
    </row>
    <row r="3816" spans="5:176" x14ac:dyDescent="0.2">
      <c r="E3816" s="70"/>
      <c r="FT3816" s="44"/>
    </row>
    <row r="3817" spans="5:176" x14ac:dyDescent="0.2">
      <c r="E3817" s="70"/>
      <c r="FT3817" s="44"/>
    </row>
    <row r="3818" spans="5:176" x14ac:dyDescent="0.2">
      <c r="E3818" s="70"/>
      <c r="FT3818" s="44"/>
    </row>
    <row r="3819" spans="5:176" x14ac:dyDescent="0.2">
      <c r="E3819" s="70"/>
      <c r="FT3819" s="44"/>
    </row>
    <row r="3820" spans="5:176" x14ac:dyDescent="0.2">
      <c r="E3820" s="70"/>
      <c r="FT3820" s="44"/>
    </row>
    <row r="3821" spans="5:176" x14ac:dyDescent="0.2">
      <c r="E3821" s="70"/>
      <c r="FT3821" s="44"/>
    </row>
    <row r="3822" spans="5:176" x14ac:dyDescent="0.2">
      <c r="E3822" s="70"/>
      <c r="FT3822" s="44"/>
    </row>
    <row r="3823" spans="5:176" x14ac:dyDescent="0.2">
      <c r="E3823" s="70"/>
      <c r="FT3823" s="44"/>
    </row>
    <row r="3824" spans="5:176" x14ac:dyDescent="0.2">
      <c r="E3824" s="70"/>
      <c r="FT3824" s="44"/>
    </row>
    <row r="3825" spans="5:176" x14ac:dyDescent="0.2">
      <c r="E3825" s="70"/>
      <c r="FT3825" s="44"/>
    </row>
    <row r="3826" spans="5:176" x14ac:dyDescent="0.2">
      <c r="E3826" s="70"/>
      <c r="FT3826" s="44"/>
    </row>
    <row r="3827" spans="5:176" x14ac:dyDescent="0.2">
      <c r="E3827" s="70"/>
      <c r="FT3827" s="44"/>
    </row>
    <row r="3828" spans="5:176" x14ac:dyDescent="0.2">
      <c r="E3828" s="70"/>
      <c r="FT3828" s="44"/>
    </row>
    <row r="3829" spans="5:176" x14ac:dyDescent="0.2">
      <c r="E3829" s="70"/>
      <c r="FT3829" s="44"/>
    </row>
    <row r="3830" spans="5:176" x14ac:dyDescent="0.2">
      <c r="E3830" s="70"/>
      <c r="FT3830" s="44"/>
    </row>
    <row r="3831" spans="5:176" x14ac:dyDescent="0.2">
      <c r="E3831" s="70"/>
      <c r="FT3831" s="44"/>
    </row>
    <row r="3832" spans="5:176" x14ac:dyDescent="0.2">
      <c r="E3832" s="70"/>
      <c r="FT3832" s="44"/>
    </row>
    <row r="3833" spans="5:176" x14ac:dyDescent="0.2">
      <c r="E3833" s="70"/>
      <c r="FT3833" s="44"/>
    </row>
    <row r="3834" spans="5:176" x14ac:dyDescent="0.2">
      <c r="E3834" s="70"/>
      <c r="FT3834" s="44"/>
    </row>
    <row r="3835" spans="5:176" x14ac:dyDescent="0.2">
      <c r="E3835" s="70"/>
      <c r="FT3835" s="44"/>
    </row>
    <row r="3836" spans="5:176" x14ac:dyDescent="0.2">
      <c r="E3836" s="70"/>
      <c r="FT3836" s="44"/>
    </row>
    <row r="3837" spans="5:176" x14ac:dyDescent="0.2">
      <c r="E3837" s="70"/>
      <c r="FT3837" s="44"/>
    </row>
    <row r="3838" spans="5:176" x14ac:dyDescent="0.2">
      <c r="E3838" s="70"/>
      <c r="FT3838" s="44"/>
    </row>
    <row r="3839" spans="5:176" x14ac:dyDescent="0.2">
      <c r="E3839" s="70"/>
      <c r="FT3839" s="44"/>
    </row>
    <row r="3840" spans="5:176" x14ac:dyDescent="0.2">
      <c r="E3840" s="70"/>
      <c r="FT3840" s="44"/>
    </row>
    <row r="3841" spans="5:176" x14ac:dyDescent="0.2">
      <c r="E3841" s="70"/>
      <c r="FT3841" s="44"/>
    </row>
    <row r="3842" spans="5:176" x14ac:dyDescent="0.2">
      <c r="E3842" s="70"/>
      <c r="FT3842" s="44"/>
    </row>
    <row r="3843" spans="5:176" x14ac:dyDescent="0.2">
      <c r="E3843" s="70"/>
      <c r="FT3843" s="44"/>
    </row>
    <row r="3844" spans="5:176" x14ac:dyDescent="0.2">
      <c r="E3844" s="70"/>
      <c r="FT3844" s="44"/>
    </row>
    <row r="3845" spans="5:176" x14ac:dyDescent="0.2">
      <c r="E3845" s="70"/>
      <c r="FT3845" s="44"/>
    </row>
    <row r="3846" spans="5:176" x14ac:dyDescent="0.2">
      <c r="E3846" s="70"/>
      <c r="FT3846" s="44"/>
    </row>
    <row r="3847" spans="5:176" x14ac:dyDescent="0.2">
      <c r="E3847" s="70"/>
      <c r="FT3847" s="44"/>
    </row>
    <row r="3848" spans="5:176" x14ac:dyDescent="0.2">
      <c r="E3848" s="70"/>
      <c r="FT3848" s="44"/>
    </row>
    <row r="3849" spans="5:176" x14ac:dyDescent="0.2">
      <c r="E3849" s="70"/>
      <c r="FT3849" s="44"/>
    </row>
    <row r="3850" spans="5:176" x14ac:dyDescent="0.2">
      <c r="E3850" s="70"/>
      <c r="FT3850" s="44"/>
    </row>
    <row r="3851" spans="5:176" x14ac:dyDescent="0.2">
      <c r="E3851" s="70"/>
      <c r="FT3851" s="44"/>
    </row>
    <row r="3852" spans="5:176" x14ac:dyDescent="0.2">
      <c r="E3852" s="70"/>
      <c r="FT3852" s="44"/>
    </row>
    <row r="3853" spans="5:176" x14ac:dyDescent="0.2">
      <c r="E3853" s="70"/>
      <c r="FT3853" s="44"/>
    </row>
    <row r="3854" spans="5:176" x14ac:dyDescent="0.2">
      <c r="E3854" s="70"/>
      <c r="FT3854" s="44"/>
    </row>
    <row r="3855" spans="5:176" x14ac:dyDescent="0.2">
      <c r="E3855" s="70"/>
      <c r="FT3855" s="44"/>
    </row>
    <row r="3856" spans="5:176" x14ac:dyDescent="0.2">
      <c r="E3856" s="70"/>
      <c r="FT3856" s="44"/>
    </row>
    <row r="3857" spans="5:176" x14ac:dyDescent="0.2">
      <c r="E3857" s="70"/>
      <c r="FT3857" s="44"/>
    </row>
    <row r="3858" spans="5:176" x14ac:dyDescent="0.2">
      <c r="E3858" s="70"/>
      <c r="FT3858" s="44"/>
    </row>
    <row r="3859" spans="5:176" x14ac:dyDescent="0.2">
      <c r="E3859" s="70"/>
      <c r="FT3859" s="44"/>
    </row>
    <row r="3860" spans="5:176" x14ac:dyDescent="0.2">
      <c r="E3860" s="70"/>
      <c r="FT3860" s="44"/>
    </row>
    <row r="3861" spans="5:176" x14ac:dyDescent="0.2">
      <c r="E3861" s="70"/>
      <c r="FT3861" s="44"/>
    </row>
    <row r="3862" spans="5:176" x14ac:dyDescent="0.2">
      <c r="E3862" s="70"/>
      <c r="FT3862" s="44"/>
    </row>
    <row r="3863" spans="5:176" x14ac:dyDescent="0.2">
      <c r="E3863" s="70"/>
      <c r="FT3863" s="44"/>
    </row>
    <row r="3864" spans="5:176" x14ac:dyDescent="0.2">
      <c r="E3864" s="70"/>
      <c r="FT3864" s="44"/>
    </row>
    <row r="3865" spans="5:176" x14ac:dyDescent="0.2">
      <c r="E3865" s="70"/>
      <c r="FT3865" s="44"/>
    </row>
    <row r="3866" spans="5:176" x14ac:dyDescent="0.2">
      <c r="E3866" s="70"/>
      <c r="FT3866" s="44"/>
    </row>
    <row r="3867" spans="5:176" x14ac:dyDescent="0.2">
      <c r="E3867" s="70"/>
      <c r="FT3867" s="44"/>
    </row>
    <row r="3868" spans="5:176" x14ac:dyDescent="0.2">
      <c r="E3868" s="70"/>
      <c r="FT3868" s="44"/>
    </row>
    <row r="3869" spans="5:176" x14ac:dyDescent="0.2">
      <c r="E3869" s="70"/>
      <c r="FT3869" s="44"/>
    </row>
    <row r="3870" spans="5:176" x14ac:dyDescent="0.2">
      <c r="E3870" s="70"/>
      <c r="FT3870" s="44"/>
    </row>
    <row r="3871" spans="5:176" x14ac:dyDescent="0.2">
      <c r="E3871" s="70"/>
      <c r="FT3871" s="44"/>
    </row>
    <row r="3872" spans="5:176" x14ac:dyDescent="0.2">
      <c r="E3872" s="70"/>
      <c r="FT3872" s="44"/>
    </row>
    <row r="3873" spans="5:176" x14ac:dyDescent="0.2">
      <c r="E3873" s="70"/>
      <c r="FT3873" s="44"/>
    </row>
    <row r="3874" spans="5:176" x14ac:dyDescent="0.2">
      <c r="E3874" s="70"/>
      <c r="FT3874" s="44"/>
    </row>
    <row r="3875" spans="5:176" x14ac:dyDescent="0.2">
      <c r="E3875" s="70"/>
      <c r="FT3875" s="44"/>
    </row>
    <row r="3876" spans="5:176" x14ac:dyDescent="0.2">
      <c r="E3876" s="70"/>
      <c r="FT3876" s="44"/>
    </row>
    <row r="3877" spans="5:176" x14ac:dyDescent="0.2">
      <c r="E3877" s="70"/>
      <c r="FT3877" s="44"/>
    </row>
    <row r="3878" spans="5:176" x14ac:dyDescent="0.2">
      <c r="E3878" s="70"/>
      <c r="FT3878" s="44"/>
    </row>
    <row r="3879" spans="5:176" x14ac:dyDescent="0.2">
      <c r="E3879" s="70"/>
      <c r="FT3879" s="44"/>
    </row>
    <row r="3880" spans="5:176" x14ac:dyDescent="0.2">
      <c r="E3880" s="70"/>
      <c r="FT3880" s="44"/>
    </row>
    <row r="3881" spans="5:176" x14ac:dyDescent="0.2">
      <c r="E3881" s="70"/>
      <c r="FT3881" s="44"/>
    </row>
    <row r="3882" spans="5:176" x14ac:dyDescent="0.2">
      <c r="E3882" s="70"/>
      <c r="FT3882" s="44"/>
    </row>
    <row r="3883" spans="5:176" x14ac:dyDescent="0.2">
      <c r="E3883" s="70"/>
      <c r="FT3883" s="44"/>
    </row>
    <row r="3884" spans="5:176" x14ac:dyDescent="0.2">
      <c r="E3884" s="70"/>
      <c r="FT3884" s="44"/>
    </row>
    <row r="3885" spans="5:176" x14ac:dyDescent="0.2">
      <c r="E3885" s="70"/>
      <c r="FT3885" s="44"/>
    </row>
    <row r="3886" spans="5:176" x14ac:dyDescent="0.2">
      <c r="E3886" s="70"/>
      <c r="FT3886" s="44"/>
    </row>
    <row r="3887" spans="5:176" x14ac:dyDescent="0.2">
      <c r="E3887" s="70"/>
      <c r="FT3887" s="44"/>
    </row>
    <row r="3888" spans="5:176" x14ac:dyDescent="0.2">
      <c r="E3888" s="70"/>
      <c r="FT3888" s="44"/>
    </row>
    <row r="3889" spans="5:176" x14ac:dyDescent="0.2">
      <c r="E3889" s="70"/>
      <c r="FT3889" s="44"/>
    </row>
    <row r="3890" spans="5:176" x14ac:dyDescent="0.2">
      <c r="E3890" s="70"/>
      <c r="FT3890" s="44"/>
    </row>
    <row r="3891" spans="5:176" x14ac:dyDescent="0.2">
      <c r="E3891" s="70"/>
      <c r="FT3891" s="44"/>
    </row>
    <row r="3892" spans="5:176" x14ac:dyDescent="0.2">
      <c r="E3892" s="70"/>
      <c r="FT3892" s="44"/>
    </row>
    <row r="3893" spans="5:176" x14ac:dyDescent="0.2">
      <c r="E3893" s="70"/>
      <c r="FT3893" s="44"/>
    </row>
    <row r="3894" spans="5:176" x14ac:dyDescent="0.2">
      <c r="E3894" s="70"/>
      <c r="FT3894" s="44"/>
    </row>
    <row r="3895" spans="5:176" x14ac:dyDescent="0.2">
      <c r="E3895" s="70"/>
      <c r="FT3895" s="44"/>
    </row>
    <row r="3896" spans="5:176" x14ac:dyDescent="0.2">
      <c r="E3896" s="70"/>
      <c r="FT3896" s="44"/>
    </row>
    <row r="3897" spans="5:176" x14ac:dyDescent="0.2">
      <c r="E3897" s="70"/>
      <c r="FT3897" s="44"/>
    </row>
    <row r="3898" spans="5:176" x14ac:dyDescent="0.2">
      <c r="E3898" s="70"/>
      <c r="FT3898" s="44"/>
    </row>
    <row r="3899" spans="5:176" x14ac:dyDescent="0.2">
      <c r="E3899" s="70"/>
      <c r="FT3899" s="44"/>
    </row>
    <row r="3900" spans="5:176" x14ac:dyDescent="0.2">
      <c r="E3900" s="70"/>
      <c r="FT3900" s="44"/>
    </row>
    <row r="3901" spans="5:176" x14ac:dyDescent="0.2">
      <c r="E3901" s="70"/>
      <c r="FT3901" s="44"/>
    </row>
    <row r="3902" spans="5:176" x14ac:dyDescent="0.2">
      <c r="E3902" s="70"/>
      <c r="FT3902" s="44"/>
    </row>
    <row r="3903" spans="5:176" x14ac:dyDescent="0.2">
      <c r="E3903" s="70"/>
      <c r="FT3903" s="44"/>
    </row>
    <row r="3904" spans="5:176" x14ac:dyDescent="0.2">
      <c r="E3904" s="70"/>
      <c r="FT3904" s="44"/>
    </row>
    <row r="3905" spans="5:176" x14ac:dyDescent="0.2">
      <c r="E3905" s="70"/>
      <c r="FT3905" s="44"/>
    </row>
    <row r="3906" spans="5:176" x14ac:dyDescent="0.2">
      <c r="E3906" s="70"/>
      <c r="FT3906" s="44"/>
    </row>
    <row r="3907" spans="5:176" x14ac:dyDescent="0.2">
      <c r="E3907" s="70"/>
      <c r="FT3907" s="44"/>
    </row>
    <row r="3908" spans="5:176" x14ac:dyDescent="0.2">
      <c r="E3908" s="70"/>
      <c r="FT3908" s="44"/>
    </row>
    <row r="3909" spans="5:176" x14ac:dyDescent="0.2">
      <c r="E3909" s="70"/>
      <c r="FT3909" s="44"/>
    </row>
    <row r="3910" spans="5:176" x14ac:dyDescent="0.2">
      <c r="E3910" s="70"/>
      <c r="FT3910" s="44"/>
    </row>
    <row r="3911" spans="5:176" x14ac:dyDescent="0.2">
      <c r="E3911" s="70"/>
      <c r="FT3911" s="44"/>
    </row>
    <row r="3912" spans="5:176" x14ac:dyDescent="0.2">
      <c r="E3912" s="70"/>
      <c r="FT3912" s="44"/>
    </row>
    <row r="3913" spans="5:176" x14ac:dyDescent="0.2">
      <c r="E3913" s="70"/>
      <c r="FT3913" s="44"/>
    </row>
    <row r="3914" spans="5:176" x14ac:dyDescent="0.2">
      <c r="E3914" s="70"/>
      <c r="FT3914" s="44"/>
    </row>
    <row r="3915" spans="5:176" x14ac:dyDescent="0.2">
      <c r="E3915" s="70"/>
      <c r="FT3915" s="44"/>
    </row>
    <row r="3916" spans="5:176" x14ac:dyDescent="0.2">
      <c r="E3916" s="70"/>
      <c r="FT3916" s="44"/>
    </row>
    <row r="3917" spans="5:176" x14ac:dyDescent="0.2">
      <c r="E3917" s="70"/>
      <c r="FT3917" s="44"/>
    </row>
    <row r="3918" spans="5:176" x14ac:dyDescent="0.2">
      <c r="E3918" s="70"/>
      <c r="FT3918" s="44"/>
    </row>
    <row r="3919" spans="5:176" x14ac:dyDescent="0.2">
      <c r="E3919" s="70"/>
      <c r="FT3919" s="44"/>
    </row>
    <row r="3920" spans="5:176" x14ac:dyDescent="0.2">
      <c r="E3920" s="70"/>
      <c r="FT3920" s="44"/>
    </row>
    <row r="3921" spans="5:176" x14ac:dyDescent="0.2">
      <c r="E3921" s="70"/>
      <c r="FT3921" s="44"/>
    </row>
    <row r="3922" spans="5:176" x14ac:dyDescent="0.2">
      <c r="E3922" s="70"/>
      <c r="FT3922" s="44"/>
    </row>
    <row r="3923" spans="5:176" x14ac:dyDescent="0.2">
      <c r="E3923" s="70"/>
      <c r="FT3923" s="44"/>
    </row>
    <row r="3924" spans="5:176" x14ac:dyDescent="0.2">
      <c r="E3924" s="70"/>
      <c r="FT3924" s="44"/>
    </row>
    <row r="3925" spans="5:176" x14ac:dyDescent="0.2">
      <c r="E3925" s="70"/>
      <c r="FT3925" s="44"/>
    </row>
    <row r="3926" spans="5:176" x14ac:dyDescent="0.2">
      <c r="E3926" s="70"/>
      <c r="FT3926" s="44"/>
    </row>
    <row r="3927" spans="5:176" x14ac:dyDescent="0.2">
      <c r="E3927" s="70"/>
      <c r="FT3927" s="44"/>
    </row>
    <row r="3928" spans="5:176" x14ac:dyDescent="0.2">
      <c r="E3928" s="70"/>
      <c r="FT3928" s="44"/>
    </row>
    <row r="3929" spans="5:176" x14ac:dyDescent="0.2">
      <c r="E3929" s="70"/>
      <c r="FT3929" s="44"/>
    </row>
    <row r="3930" spans="5:176" x14ac:dyDescent="0.2">
      <c r="E3930" s="70"/>
      <c r="FT3930" s="44"/>
    </row>
    <row r="3931" spans="5:176" x14ac:dyDescent="0.2">
      <c r="E3931" s="70"/>
      <c r="FT3931" s="44"/>
    </row>
    <row r="3932" spans="5:176" x14ac:dyDescent="0.2">
      <c r="E3932" s="70"/>
      <c r="FT3932" s="44"/>
    </row>
    <row r="3933" spans="5:176" x14ac:dyDescent="0.2">
      <c r="E3933" s="70"/>
      <c r="FT3933" s="44"/>
    </row>
    <row r="3934" spans="5:176" x14ac:dyDescent="0.2">
      <c r="E3934" s="70"/>
      <c r="FT3934" s="44"/>
    </row>
    <row r="3935" spans="5:176" x14ac:dyDescent="0.2">
      <c r="E3935" s="70"/>
      <c r="FT3935" s="44"/>
    </row>
    <row r="3936" spans="5:176" x14ac:dyDescent="0.2">
      <c r="E3936" s="70"/>
      <c r="FT3936" s="44"/>
    </row>
    <row r="3937" spans="5:176" x14ac:dyDescent="0.2">
      <c r="E3937" s="70"/>
      <c r="FT3937" s="44"/>
    </row>
    <row r="3938" spans="5:176" x14ac:dyDescent="0.2">
      <c r="E3938" s="70"/>
      <c r="FT3938" s="44"/>
    </row>
    <row r="3939" spans="5:176" x14ac:dyDescent="0.2">
      <c r="E3939" s="70"/>
      <c r="FT3939" s="44"/>
    </row>
    <row r="3940" spans="5:176" x14ac:dyDescent="0.2">
      <c r="E3940" s="70"/>
      <c r="FT3940" s="44"/>
    </row>
    <row r="3941" spans="5:176" x14ac:dyDescent="0.2">
      <c r="E3941" s="70"/>
      <c r="FT3941" s="44"/>
    </row>
    <row r="3942" spans="5:176" x14ac:dyDescent="0.2">
      <c r="E3942" s="70"/>
      <c r="FT3942" s="44"/>
    </row>
    <row r="3943" spans="5:176" x14ac:dyDescent="0.2">
      <c r="E3943" s="70"/>
      <c r="FT3943" s="44"/>
    </row>
    <row r="3944" spans="5:176" x14ac:dyDescent="0.2">
      <c r="E3944" s="70"/>
      <c r="FT3944" s="44"/>
    </row>
    <row r="3945" spans="5:176" x14ac:dyDescent="0.2">
      <c r="E3945" s="70"/>
      <c r="FT3945" s="44"/>
    </row>
    <row r="3946" spans="5:176" x14ac:dyDescent="0.2">
      <c r="E3946" s="70"/>
      <c r="FT3946" s="44"/>
    </row>
    <row r="3947" spans="5:176" x14ac:dyDescent="0.2">
      <c r="E3947" s="70"/>
      <c r="FT3947" s="44"/>
    </row>
    <row r="3948" spans="5:176" x14ac:dyDescent="0.2">
      <c r="E3948" s="70"/>
      <c r="FT3948" s="44"/>
    </row>
    <row r="3949" spans="5:176" x14ac:dyDescent="0.2">
      <c r="E3949" s="70"/>
      <c r="FT3949" s="44"/>
    </row>
    <row r="3950" spans="5:176" x14ac:dyDescent="0.2">
      <c r="E3950" s="70"/>
      <c r="FT3950" s="44"/>
    </row>
    <row r="3951" spans="5:176" x14ac:dyDescent="0.2">
      <c r="E3951" s="70"/>
      <c r="FT3951" s="44"/>
    </row>
    <row r="3952" spans="5:176" x14ac:dyDescent="0.2">
      <c r="E3952" s="70"/>
      <c r="FT3952" s="44"/>
    </row>
    <row r="3953" spans="5:176" x14ac:dyDescent="0.2">
      <c r="E3953" s="70"/>
      <c r="FT3953" s="44"/>
    </row>
    <row r="3954" spans="5:176" x14ac:dyDescent="0.2">
      <c r="E3954" s="70"/>
      <c r="FT3954" s="44"/>
    </row>
    <row r="3955" spans="5:176" x14ac:dyDescent="0.2">
      <c r="E3955" s="70"/>
      <c r="FT3955" s="44"/>
    </row>
    <row r="3956" spans="5:176" x14ac:dyDescent="0.2">
      <c r="E3956" s="70"/>
      <c r="FT3956" s="44"/>
    </row>
    <row r="3957" spans="5:176" x14ac:dyDescent="0.2">
      <c r="E3957" s="70"/>
      <c r="FT3957" s="44"/>
    </row>
    <row r="3958" spans="5:176" x14ac:dyDescent="0.2">
      <c r="E3958" s="70"/>
      <c r="FT3958" s="44"/>
    </row>
    <row r="3959" spans="5:176" x14ac:dyDescent="0.2">
      <c r="E3959" s="70"/>
      <c r="FT3959" s="44"/>
    </row>
    <row r="3960" spans="5:176" x14ac:dyDescent="0.2">
      <c r="E3960" s="70"/>
      <c r="FT3960" s="44"/>
    </row>
    <row r="3961" spans="5:176" x14ac:dyDescent="0.2">
      <c r="E3961" s="70"/>
      <c r="FT3961" s="44"/>
    </row>
    <row r="3962" spans="5:176" x14ac:dyDescent="0.2">
      <c r="E3962" s="70"/>
      <c r="FT3962" s="44"/>
    </row>
    <row r="3963" spans="5:176" x14ac:dyDescent="0.2">
      <c r="E3963" s="70"/>
      <c r="FT3963" s="44"/>
    </row>
    <row r="3964" spans="5:176" x14ac:dyDescent="0.2">
      <c r="E3964" s="70"/>
      <c r="FT3964" s="44"/>
    </row>
    <row r="3965" spans="5:176" x14ac:dyDescent="0.2">
      <c r="E3965" s="70"/>
      <c r="FT3965" s="44"/>
    </row>
    <row r="3966" spans="5:176" x14ac:dyDescent="0.2">
      <c r="E3966" s="70"/>
      <c r="FT3966" s="44"/>
    </row>
    <row r="3967" spans="5:176" x14ac:dyDescent="0.2">
      <c r="E3967" s="70"/>
      <c r="FT3967" s="44"/>
    </row>
    <row r="3968" spans="5:176" x14ac:dyDescent="0.2">
      <c r="E3968" s="70"/>
      <c r="FT3968" s="44"/>
    </row>
    <row r="3969" spans="5:176" x14ac:dyDescent="0.2">
      <c r="E3969" s="70"/>
      <c r="FT3969" s="44"/>
    </row>
    <row r="3970" spans="5:176" x14ac:dyDescent="0.2">
      <c r="E3970" s="70"/>
      <c r="FT3970" s="44"/>
    </row>
    <row r="3971" spans="5:176" x14ac:dyDescent="0.2">
      <c r="E3971" s="70"/>
      <c r="FT3971" s="44"/>
    </row>
    <row r="3972" spans="5:176" x14ac:dyDescent="0.2">
      <c r="E3972" s="70"/>
      <c r="FT3972" s="44"/>
    </row>
    <row r="3973" spans="5:176" x14ac:dyDescent="0.2">
      <c r="E3973" s="70"/>
      <c r="FT3973" s="44"/>
    </row>
    <row r="3974" spans="5:176" x14ac:dyDescent="0.2">
      <c r="E3974" s="70"/>
      <c r="FT3974" s="44"/>
    </row>
    <row r="3975" spans="5:176" x14ac:dyDescent="0.2">
      <c r="E3975" s="70"/>
      <c r="FT3975" s="44"/>
    </row>
    <row r="3976" spans="5:176" x14ac:dyDescent="0.2">
      <c r="E3976" s="70"/>
      <c r="FT3976" s="44"/>
    </row>
    <row r="3977" spans="5:176" x14ac:dyDescent="0.2">
      <c r="E3977" s="70"/>
      <c r="FT3977" s="44"/>
    </row>
    <row r="3978" spans="5:176" x14ac:dyDescent="0.2">
      <c r="E3978" s="70"/>
      <c r="FT3978" s="44"/>
    </row>
    <row r="3979" spans="5:176" x14ac:dyDescent="0.2">
      <c r="E3979" s="70"/>
      <c r="FT3979" s="44"/>
    </row>
    <row r="3980" spans="5:176" x14ac:dyDescent="0.2">
      <c r="E3980" s="70"/>
      <c r="FT3980" s="44"/>
    </row>
    <row r="3981" spans="5:176" x14ac:dyDescent="0.2">
      <c r="E3981" s="70"/>
      <c r="FT3981" s="44"/>
    </row>
    <row r="3982" spans="5:176" x14ac:dyDescent="0.2">
      <c r="E3982" s="70"/>
      <c r="FT3982" s="44"/>
    </row>
    <row r="3983" spans="5:176" x14ac:dyDescent="0.2">
      <c r="E3983" s="70"/>
      <c r="FT3983" s="44"/>
    </row>
    <row r="3984" spans="5:176" x14ac:dyDescent="0.2">
      <c r="E3984" s="70"/>
      <c r="FT3984" s="44"/>
    </row>
    <row r="3985" spans="5:176" x14ac:dyDescent="0.2">
      <c r="E3985" s="70"/>
      <c r="FT3985" s="44"/>
    </row>
    <row r="3986" spans="5:176" x14ac:dyDescent="0.2">
      <c r="E3986" s="70"/>
      <c r="FT3986" s="44"/>
    </row>
    <row r="3987" spans="5:176" x14ac:dyDescent="0.2">
      <c r="E3987" s="70"/>
      <c r="FT3987" s="44"/>
    </row>
    <row r="3988" spans="5:176" x14ac:dyDescent="0.2">
      <c r="E3988" s="70"/>
      <c r="FT3988" s="44"/>
    </row>
    <row r="3989" spans="5:176" x14ac:dyDescent="0.2">
      <c r="E3989" s="70"/>
      <c r="FT3989" s="44"/>
    </row>
    <row r="3990" spans="5:176" x14ac:dyDescent="0.2">
      <c r="E3990" s="70"/>
      <c r="FT3990" s="44"/>
    </row>
    <row r="3991" spans="5:176" x14ac:dyDescent="0.2">
      <c r="E3991" s="70"/>
      <c r="FT3991" s="44"/>
    </row>
    <row r="3992" spans="5:176" x14ac:dyDescent="0.2">
      <c r="E3992" s="70"/>
      <c r="FT3992" s="44"/>
    </row>
    <row r="3993" spans="5:176" x14ac:dyDescent="0.2">
      <c r="E3993" s="70"/>
      <c r="FT3993" s="44"/>
    </row>
    <row r="3994" spans="5:176" x14ac:dyDescent="0.2">
      <c r="E3994" s="70"/>
      <c r="FT3994" s="44"/>
    </row>
    <row r="3995" spans="5:176" x14ac:dyDescent="0.2">
      <c r="E3995" s="70"/>
      <c r="FT3995" s="44"/>
    </row>
    <row r="3996" spans="5:176" x14ac:dyDescent="0.2">
      <c r="E3996" s="70"/>
      <c r="FT3996" s="44"/>
    </row>
    <row r="3997" spans="5:176" x14ac:dyDescent="0.2">
      <c r="E3997" s="70"/>
      <c r="FT3997" s="44"/>
    </row>
    <row r="3998" spans="5:176" x14ac:dyDescent="0.2">
      <c r="E3998" s="70"/>
      <c r="FT3998" s="44"/>
    </row>
    <row r="3999" spans="5:176" x14ac:dyDescent="0.2">
      <c r="E3999" s="70"/>
      <c r="FT3999" s="44"/>
    </row>
    <row r="4000" spans="5:176" x14ac:dyDescent="0.2">
      <c r="E4000" s="70"/>
      <c r="FT4000" s="44"/>
    </row>
    <row r="4001" spans="5:176" x14ac:dyDescent="0.2">
      <c r="E4001" s="70"/>
      <c r="FT4001" s="44"/>
    </row>
    <row r="4002" spans="5:176" x14ac:dyDescent="0.2">
      <c r="E4002" s="70"/>
      <c r="FT4002" s="44"/>
    </row>
    <row r="4003" spans="5:176" x14ac:dyDescent="0.2">
      <c r="E4003" s="70"/>
      <c r="FT4003" s="44"/>
    </row>
    <row r="4004" spans="5:176" x14ac:dyDescent="0.2">
      <c r="E4004" s="70"/>
      <c r="FT4004" s="44"/>
    </row>
    <row r="4005" spans="5:176" x14ac:dyDescent="0.2">
      <c r="E4005" s="70"/>
      <c r="FT4005" s="44"/>
    </row>
    <row r="4006" spans="5:176" x14ac:dyDescent="0.2">
      <c r="E4006" s="70"/>
      <c r="FT4006" s="44"/>
    </row>
    <row r="4007" spans="5:176" x14ac:dyDescent="0.2">
      <c r="E4007" s="70"/>
      <c r="FT4007" s="44"/>
    </row>
    <row r="4008" spans="5:176" x14ac:dyDescent="0.2">
      <c r="E4008" s="70"/>
      <c r="FT4008" s="44"/>
    </row>
    <row r="4009" spans="5:176" x14ac:dyDescent="0.2">
      <c r="E4009" s="70"/>
      <c r="FT4009" s="44"/>
    </row>
    <row r="4010" spans="5:176" x14ac:dyDescent="0.2">
      <c r="E4010" s="70"/>
      <c r="FT4010" s="44"/>
    </row>
    <row r="4011" spans="5:176" x14ac:dyDescent="0.2">
      <c r="E4011" s="70"/>
      <c r="FT4011" s="44"/>
    </row>
    <row r="4012" spans="5:176" x14ac:dyDescent="0.2">
      <c r="E4012" s="70"/>
      <c r="FT4012" s="44"/>
    </row>
    <row r="4013" spans="5:176" x14ac:dyDescent="0.2">
      <c r="E4013" s="70"/>
      <c r="FT4013" s="44"/>
    </row>
    <row r="4014" spans="5:176" x14ac:dyDescent="0.2">
      <c r="E4014" s="70"/>
      <c r="FT4014" s="44"/>
    </row>
    <row r="4015" spans="5:176" x14ac:dyDescent="0.2">
      <c r="E4015" s="70"/>
      <c r="FT4015" s="44"/>
    </row>
    <row r="4016" spans="5:176" x14ac:dyDescent="0.2">
      <c r="E4016" s="70"/>
      <c r="FT4016" s="44"/>
    </row>
    <row r="4017" spans="5:176" x14ac:dyDescent="0.2">
      <c r="E4017" s="70"/>
      <c r="FT4017" s="44"/>
    </row>
    <row r="4018" spans="5:176" x14ac:dyDescent="0.2">
      <c r="E4018" s="70"/>
      <c r="FT4018" s="44"/>
    </row>
    <row r="4019" spans="5:176" x14ac:dyDescent="0.2">
      <c r="E4019" s="70"/>
      <c r="FT4019" s="44"/>
    </row>
    <row r="4020" spans="5:176" x14ac:dyDescent="0.2">
      <c r="E4020" s="70"/>
      <c r="FT4020" s="44"/>
    </row>
    <row r="4021" spans="5:176" x14ac:dyDescent="0.2">
      <c r="E4021" s="70"/>
      <c r="FT4021" s="44"/>
    </row>
    <row r="4022" spans="5:176" x14ac:dyDescent="0.2">
      <c r="E4022" s="70"/>
      <c r="FT4022" s="44"/>
    </row>
    <row r="4023" spans="5:176" x14ac:dyDescent="0.2">
      <c r="E4023" s="70"/>
      <c r="FT4023" s="44"/>
    </row>
    <row r="4024" spans="5:176" x14ac:dyDescent="0.2">
      <c r="E4024" s="70"/>
      <c r="FT4024" s="44"/>
    </row>
    <row r="4025" spans="5:176" x14ac:dyDescent="0.2">
      <c r="E4025" s="70"/>
      <c r="FT4025" s="44"/>
    </row>
    <row r="4026" spans="5:176" x14ac:dyDescent="0.2">
      <c r="E4026" s="70"/>
      <c r="FT4026" s="44"/>
    </row>
    <row r="4027" spans="5:176" x14ac:dyDescent="0.2">
      <c r="E4027" s="70"/>
      <c r="FT4027" s="44"/>
    </row>
    <row r="4028" spans="5:176" x14ac:dyDescent="0.2">
      <c r="E4028" s="70"/>
      <c r="FT4028" s="44"/>
    </row>
    <row r="4029" spans="5:176" x14ac:dyDescent="0.2">
      <c r="E4029" s="70"/>
      <c r="FT4029" s="44"/>
    </row>
    <row r="4030" spans="5:176" x14ac:dyDescent="0.2">
      <c r="E4030" s="70"/>
      <c r="FT4030" s="44"/>
    </row>
    <row r="4031" spans="5:176" x14ac:dyDescent="0.2">
      <c r="E4031" s="70"/>
      <c r="FT4031" s="44"/>
    </row>
    <row r="4032" spans="5:176" x14ac:dyDescent="0.2">
      <c r="E4032" s="70"/>
      <c r="FT4032" s="44"/>
    </row>
    <row r="4033" spans="5:176" x14ac:dyDescent="0.2">
      <c r="E4033" s="70"/>
      <c r="FT4033" s="44"/>
    </row>
    <row r="4034" spans="5:176" x14ac:dyDescent="0.2">
      <c r="E4034" s="70"/>
      <c r="FT4034" s="44"/>
    </row>
    <row r="4035" spans="5:176" x14ac:dyDescent="0.2">
      <c r="E4035" s="70"/>
      <c r="FT4035" s="44"/>
    </row>
    <row r="4036" spans="5:176" x14ac:dyDescent="0.2">
      <c r="E4036" s="70"/>
      <c r="FT4036" s="44"/>
    </row>
    <row r="4037" spans="5:176" x14ac:dyDescent="0.2">
      <c r="E4037" s="70"/>
      <c r="FT4037" s="44"/>
    </row>
    <row r="4038" spans="5:176" x14ac:dyDescent="0.2">
      <c r="E4038" s="70"/>
      <c r="FT4038" s="44"/>
    </row>
    <row r="4039" spans="5:176" x14ac:dyDescent="0.2">
      <c r="E4039" s="70"/>
      <c r="FT4039" s="44"/>
    </row>
    <row r="4040" spans="5:176" x14ac:dyDescent="0.2">
      <c r="E4040" s="70"/>
      <c r="FT4040" s="44"/>
    </row>
    <row r="4041" spans="5:176" x14ac:dyDescent="0.2">
      <c r="E4041" s="70"/>
      <c r="FT4041" s="44"/>
    </row>
    <row r="4042" spans="5:176" x14ac:dyDescent="0.2">
      <c r="E4042" s="70"/>
      <c r="FT4042" s="44"/>
    </row>
    <row r="4043" spans="5:176" x14ac:dyDescent="0.2">
      <c r="E4043" s="70"/>
      <c r="FT4043" s="44"/>
    </row>
    <row r="4044" spans="5:176" x14ac:dyDescent="0.2">
      <c r="E4044" s="70"/>
      <c r="FT4044" s="44"/>
    </row>
    <row r="4045" spans="5:176" x14ac:dyDescent="0.2">
      <c r="E4045" s="70"/>
      <c r="FT4045" s="44"/>
    </row>
    <row r="4046" spans="5:176" x14ac:dyDescent="0.2">
      <c r="E4046" s="70"/>
      <c r="FT4046" s="44"/>
    </row>
    <row r="4047" spans="5:176" x14ac:dyDescent="0.2">
      <c r="E4047" s="70"/>
      <c r="FT4047" s="44"/>
    </row>
    <row r="4048" spans="5:176" x14ac:dyDescent="0.2">
      <c r="E4048" s="70"/>
      <c r="FT4048" s="44"/>
    </row>
    <row r="4049" spans="5:176" x14ac:dyDescent="0.2">
      <c r="E4049" s="70"/>
      <c r="FT4049" s="44"/>
    </row>
    <row r="4050" spans="5:176" x14ac:dyDescent="0.2">
      <c r="E4050" s="70"/>
      <c r="FT4050" s="44"/>
    </row>
    <row r="4051" spans="5:176" x14ac:dyDescent="0.2">
      <c r="E4051" s="70"/>
      <c r="FT4051" s="44"/>
    </row>
    <row r="4052" spans="5:176" x14ac:dyDescent="0.2">
      <c r="E4052" s="70"/>
      <c r="FT4052" s="44"/>
    </row>
    <row r="4053" spans="5:176" x14ac:dyDescent="0.2">
      <c r="E4053" s="70"/>
      <c r="FT4053" s="44"/>
    </row>
    <row r="4054" spans="5:176" x14ac:dyDescent="0.2">
      <c r="E4054" s="70"/>
      <c r="FT4054" s="44"/>
    </row>
    <row r="4055" spans="5:176" x14ac:dyDescent="0.2">
      <c r="E4055" s="70"/>
      <c r="FT4055" s="44"/>
    </row>
    <row r="4056" spans="5:176" x14ac:dyDescent="0.2">
      <c r="E4056" s="70"/>
      <c r="FT4056" s="44"/>
    </row>
    <row r="4057" spans="5:176" x14ac:dyDescent="0.2">
      <c r="E4057" s="70"/>
      <c r="FT4057" s="44"/>
    </row>
    <row r="4058" spans="5:176" x14ac:dyDescent="0.2">
      <c r="E4058" s="70"/>
      <c r="FT4058" s="44"/>
    </row>
    <row r="4059" spans="5:176" x14ac:dyDescent="0.2">
      <c r="E4059" s="70"/>
      <c r="FT4059" s="44"/>
    </row>
    <row r="4060" spans="5:176" x14ac:dyDescent="0.2">
      <c r="E4060" s="70"/>
      <c r="FT4060" s="44"/>
    </row>
    <row r="4061" spans="5:176" x14ac:dyDescent="0.2">
      <c r="E4061" s="70"/>
      <c r="FT4061" s="44"/>
    </row>
    <row r="4062" spans="5:176" x14ac:dyDescent="0.2">
      <c r="E4062" s="70"/>
      <c r="FT4062" s="44"/>
    </row>
    <row r="4063" spans="5:176" x14ac:dyDescent="0.2">
      <c r="E4063" s="70"/>
      <c r="FT4063" s="44"/>
    </row>
    <row r="4064" spans="5:176" x14ac:dyDescent="0.2">
      <c r="E4064" s="70"/>
      <c r="FT4064" s="44"/>
    </row>
    <row r="4065" spans="5:176" x14ac:dyDescent="0.2">
      <c r="E4065" s="70"/>
      <c r="FT4065" s="44"/>
    </row>
    <row r="4066" spans="5:176" x14ac:dyDescent="0.2">
      <c r="E4066" s="70"/>
      <c r="FT4066" s="44"/>
    </row>
    <row r="4067" spans="5:176" x14ac:dyDescent="0.2">
      <c r="E4067" s="70"/>
      <c r="FT4067" s="44"/>
    </row>
    <row r="4068" spans="5:176" x14ac:dyDescent="0.2">
      <c r="E4068" s="70"/>
      <c r="FT4068" s="44"/>
    </row>
    <row r="4069" spans="5:176" x14ac:dyDescent="0.2">
      <c r="E4069" s="70"/>
      <c r="FT4069" s="44"/>
    </row>
    <row r="4070" spans="5:176" x14ac:dyDescent="0.2">
      <c r="E4070" s="70"/>
      <c r="FT4070" s="44"/>
    </row>
    <row r="4071" spans="5:176" x14ac:dyDescent="0.2">
      <c r="E4071" s="70"/>
      <c r="FT4071" s="44"/>
    </row>
    <row r="4072" spans="5:176" x14ac:dyDescent="0.2">
      <c r="E4072" s="70"/>
      <c r="FT4072" s="44"/>
    </row>
    <row r="4073" spans="5:176" x14ac:dyDescent="0.2">
      <c r="E4073" s="70"/>
      <c r="FT4073" s="44"/>
    </row>
    <row r="4074" spans="5:176" x14ac:dyDescent="0.2">
      <c r="E4074" s="70"/>
      <c r="FT4074" s="44"/>
    </row>
    <row r="4075" spans="5:176" x14ac:dyDescent="0.2">
      <c r="E4075" s="70"/>
      <c r="FT4075" s="44"/>
    </row>
    <row r="4076" spans="5:176" x14ac:dyDescent="0.2">
      <c r="E4076" s="70"/>
      <c r="FT4076" s="44"/>
    </row>
    <row r="4077" spans="5:176" x14ac:dyDescent="0.2">
      <c r="E4077" s="70"/>
      <c r="FT4077" s="44"/>
    </row>
    <row r="4078" spans="5:176" x14ac:dyDescent="0.2">
      <c r="E4078" s="70"/>
      <c r="FT4078" s="44"/>
    </row>
    <row r="4079" spans="5:176" x14ac:dyDescent="0.2">
      <c r="E4079" s="70"/>
      <c r="FT4079" s="44"/>
    </row>
    <row r="4080" spans="5:176" x14ac:dyDescent="0.2">
      <c r="E4080" s="70"/>
      <c r="FT4080" s="44"/>
    </row>
    <row r="4081" spans="5:176" x14ac:dyDescent="0.2">
      <c r="E4081" s="70"/>
      <c r="FT4081" s="44"/>
    </row>
    <row r="4082" spans="5:176" x14ac:dyDescent="0.2">
      <c r="E4082" s="70"/>
      <c r="FT4082" s="44"/>
    </row>
    <row r="4083" spans="5:176" x14ac:dyDescent="0.2">
      <c r="E4083" s="70"/>
      <c r="FT4083" s="44"/>
    </row>
    <row r="4084" spans="5:176" x14ac:dyDescent="0.2">
      <c r="E4084" s="70"/>
      <c r="FT4084" s="44"/>
    </row>
    <row r="4085" spans="5:176" x14ac:dyDescent="0.2">
      <c r="E4085" s="70"/>
      <c r="FT4085" s="44"/>
    </row>
    <row r="4086" spans="5:176" x14ac:dyDescent="0.2">
      <c r="E4086" s="70"/>
      <c r="FT4086" s="44"/>
    </row>
    <row r="4087" spans="5:176" x14ac:dyDescent="0.2">
      <c r="E4087" s="70"/>
      <c r="FT4087" s="44"/>
    </row>
    <row r="4088" spans="5:176" x14ac:dyDescent="0.2">
      <c r="E4088" s="70"/>
      <c r="FT4088" s="44"/>
    </row>
    <row r="4089" spans="5:176" x14ac:dyDescent="0.2">
      <c r="E4089" s="70"/>
      <c r="FT4089" s="44"/>
    </row>
    <row r="4090" spans="5:176" x14ac:dyDescent="0.2">
      <c r="E4090" s="70"/>
      <c r="FT4090" s="44"/>
    </row>
    <row r="4091" spans="5:176" x14ac:dyDescent="0.2">
      <c r="E4091" s="70"/>
      <c r="FT4091" s="44"/>
    </row>
    <row r="4092" spans="5:176" x14ac:dyDescent="0.2">
      <c r="E4092" s="70"/>
      <c r="FT4092" s="44"/>
    </row>
    <row r="4093" spans="5:176" x14ac:dyDescent="0.2">
      <c r="E4093" s="70"/>
      <c r="FT4093" s="44"/>
    </row>
    <row r="4094" spans="5:176" x14ac:dyDescent="0.2">
      <c r="E4094" s="70"/>
      <c r="FT4094" s="44"/>
    </row>
    <row r="4095" spans="5:176" x14ac:dyDescent="0.2">
      <c r="E4095" s="70"/>
      <c r="FT4095" s="44"/>
    </row>
    <row r="4096" spans="5:176" x14ac:dyDescent="0.2">
      <c r="E4096" s="70"/>
      <c r="FT4096" s="44"/>
    </row>
    <row r="4097" spans="5:176" x14ac:dyDescent="0.2">
      <c r="E4097" s="70"/>
      <c r="FT4097" s="44"/>
    </row>
    <row r="4098" spans="5:176" x14ac:dyDescent="0.2">
      <c r="E4098" s="70"/>
      <c r="FT4098" s="44"/>
    </row>
    <row r="4099" spans="5:176" x14ac:dyDescent="0.2">
      <c r="E4099" s="70"/>
      <c r="FT4099" s="44"/>
    </row>
    <row r="4100" spans="5:176" x14ac:dyDescent="0.2">
      <c r="E4100" s="70"/>
      <c r="FT4100" s="44"/>
    </row>
    <row r="4101" spans="5:176" x14ac:dyDescent="0.2">
      <c r="E4101" s="70"/>
      <c r="FT4101" s="44"/>
    </row>
    <row r="4102" spans="5:176" x14ac:dyDescent="0.2">
      <c r="E4102" s="70"/>
      <c r="FT4102" s="44"/>
    </row>
    <row r="4103" spans="5:176" x14ac:dyDescent="0.2">
      <c r="E4103" s="70"/>
      <c r="FT4103" s="44"/>
    </row>
    <row r="4104" spans="5:176" x14ac:dyDescent="0.2">
      <c r="E4104" s="70"/>
      <c r="FT4104" s="44"/>
    </row>
    <row r="4105" spans="5:176" x14ac:dyDescent="0.2">
      <c r="E4105" s="70"/>
      <c r="FT4105" s="44"/>
    </row>
    <row r="4106" spans="5:176" x14ac:dyDescent="0.2">
      <c r="E4106" s="70"/>
      <c r="FT4106" s="44"/>
    </row>
    <row r="4107" spans="5:176" x14ac:dyDescent="0.2">
      <c r="E4107" s="70"/>
      <c r="FT4107" s="44"/>
    </row>
    <row r="4108" spans="5:176" x14ac:dyDescent="0.2">
      <c r="E4108" s="70"/>
      <c r="FT4108" s="44"/>
    </row>
    <row r="4109" spans="5:176" x14ac:dyDescent="0.2">
      <c r="E4109" s="70"/>
      <c r="FT4109" s="44"/>
    </row>
    <row r="4110" spans="5:176" x14ac:dyDescent="0.2">
      <c r="E4110" s="70"/>
      <c r="FT4110" s="44"/>
    </row>
    <row r="4111" spans="5:176" x14ac:dyDescent="0.2">
      <c r="E4111" s="70"/>
      <c r="FT4111" s="44"/>
    </row>
    <row r="4112" spans="5:176" x14ac:dyDescent="0.2">
      <c r="E4112" s="70"/>
      <c r="FT4112" s="44"/>
    </row>
    <row r="4113" spans="5:176" x14ac:dyDescent="0.2">
      <c r="E4113" s="70"/>
      <c r="FT4113" s="44"/>
    </row>
    <row r="4114" spans="5:176" x14ac:dyDescent="0.2">
      <c r="E4114" s="70"/>
      <c r="FT4114" s="44"/>
    </row>
    <row r="4115" spans="5:176" x14ac:dyDescent="0.2">
      <c r="E4115" s="70"/>
      <c r="FT4115" s="44"/>
    </row>
    <row r="4116" spans="5:176" x14ac:dyDescent="0.2">
      <c r="E4116" s="70"/>
      <c r="FT4116" s="44"/>
    </row>
    <row r="4117" spans="5:176" x14ac:dyDescent="0.2">
      <c r="E4117" s="70"/>
      <c r="FT4117" s="44"/>
    </row>
    <row r="4118" spans="5:176" x14ac:dyDescent="0.2">
      <c r="E4118" s="70"/>
      <c r="FT4118" s="44"/>
    </row>
    <row r="4119" spans="5:176" x14ac:dyDescent="0.2">
      <c r="E4119" s="70"/>
      <c r="FT4119" s="44"/>
    </row>
    <row r="4120" spans="5:176" x14ac:dyDescent="0.2">
      <c r="E4120" s="70"/>
      <c r="FT4120" s="44"/>
    </row>
    <row r="4121" spans="5:176" x14ac:dyDescent="0.2">
      <c r="E4121" s="70"/>
      <c r="FT4121" s="44"/>
    </row>
    <row r="4122" spans="5:176" x14ac:dyDescent="0.2">
      <c r="E4122" s="70"/>
      <c r="FT4122" s="44"/>
    </row>
    <row r="4123" spans="5:176" x14ac:dyDescent="0.2">
      <c r="E4123" s="70"/>
      <c r="FT4123" s="44"/>
    </row>
    <row r="4124" spans="5:176" x14ac:dyDescent="0.2">
      <c r="E4124" s="70"/>
      <c r="FT4124" s="44"/>
    </row>
    <row r="4125" spans="5:176" x14ac:dyDescent="0.2">
      <c r="E4125" s="70"/>
      <c r="FT4125" s="44"/>
    </row>
    <row r="4126" spans="5:176" x14ac:dyDescent="0.2">
      <c r="E4126" s="70"/>
      <c r="FT4126" s="44"/>
    </row>
    <row r="4127" spans="5:176" x14ac:dyDescent="0.2">
      <c r="E4127" s="70"/>
      <c r="FT4127" s="44"/>
    </row>
    <row r="4128" spans="5:176" x14ac:dyDescent="0.2">
      <c r="E4128" s="70"/>
      <c r="FT4128" s="44"/>
    </row>
    <row r="4129" spans="5:176" x14ac:dyDescent="0.2">
      <c r="E4129" s="70"/>
      <c r="FT4129" s="44"/>
    </row>
    <row r="4130" spans="5:176" x14ac:dyDescent="0.2">
      <c r="E4130" s="70"/>
      <c r="FT4130" s="44"/>
    </row>
    <row r="4131" spans="5:176" x14ac:dyDescent="0.2">
      <c r="E4131" s="70"/>
      <c r="FT4131" s="44"/>
    </row>
    <row r="4132" spans="5:176" x14ac:dyDescent="0.2">
      <c r="E4132" s="70"/>
      <c r="FT4132" s="44"/>
    </row>
    <row r="4133" spans="5:176" x14ac:dyDescent="0.2">
      <c r="E4133" s="70"/>
      <c r="FT4133" s="44"/>
    </row>
    <row r="4134" spans="5:176" x14ac:dyDescent="0.2">
      <c r="E4134" s="70"/>
      <c r="FT4134" s="44"/>
    </row>
    <row r="4135" spans="5:176" x14ac:dyDescent="0.2">
      <c r="E4135" s="70"/>
      <c r="FT4135" s="44"/>
    </row>
    <row r="4136" spans="5:176" x14ac:dyDescent="0.2">
      <c r="E4136" s="70"/>
      <c r="FT4136" s="44"/>
    </row>
    <row r="4137" spans="5:176" x14ac:dyDescent="0.2">
      <c r="E4137" s="70"/>
      <c r="FT4137" s="44"/>
    </row>
    <row r="4138" spans="5:176" x14ac:dyDescent="0.2">
      <c r="E4138" s="70"/>
      <c r="FT4138" s="44"/>
    </row>
    <row r="4139" spans="5:176" x14ac:dyDescent="0.2">
      <c r="E4139" s="70"/>
      <c r="FT4139" s="44"/>
    </row>
    <row r="4140" spans="5:176" x14ac:dyDescent="0.2">
      <c r="E4140" s="70"/>
      <c r="FT4140" s="44"/>
    </row>
    <row r="4141" spans="5:176" x14ac:dyDescent="0.2">
      <c r="E4141" s="70"/>
      <c r="FT4141" s="44"/>
    </row>
    <row r="4142" spans="5:176" x14ac:dyDescent="0.2">
      <c r="E4142" s="70"/>
      <c r="FT4142" s="44"/>
    </row>
    <row r="4143" spans="5:176" x14ac:dyDescent="0.2">
      <c r="E4143" s="70"/>
      <c r="FT4143" s="44"/>
    </row>
    <row r="4144" spans="5:176" x14ac:dyDescent="0.2">
      <c r="E4144" s="70"/>
      <c r="FT4144" s="44"/>
    </row>
    <row r="4145" spans="5:176" x14ac:dyDescent="0.2">
      <c r="E4145" s="70"/>
      <c r="FT4145" s="44"/>
    </row>
    <row r="4146" spans="5:176" x14ac:dyDescent="0.2">
      <c r="E4146" s="70"/>
      <c r="FT4146" s="44"/>
    </row>
    <row r="4147" spans="5:176" x14ac:dyDescent="0.2">
      <c r="E4147" s="70"/>
      <c r="FT4147" s="44"/>
    </row>
    <row r="4148" spans="5:176" x14ac:dyDescent="0.2">
      <c r="E4148" s="70"/>
      <c r="FT4148" s="44"/>
    </row>
    <row r="4149" spans="5:176" x14ac:dyDescent="0.2">
      <c r="E4149" s="70"/>
      <c r="FT4149" s="44"/>
    </row>
    <row r="4150" spans="5:176" x14ac:dyDescent="0.2">
      <c r="E4150" s="70"/>
      <c r="FT4150" s="44"/>
    </row>
    <row r="4151" spans="5:176" x14ac:dyDescent="0.2">
      <c r="E4151" s="70"/>
      <c r="FT4151" s="44"/>
    </row>
    <row r="4152" spans="5:176" x14ac:dyDescent="0.2">
      <c r="E4152" s="70"/>
      <c r="FT4152" s="44"/>
    </row>
    <row r="4153" spans="5:176" x14ac:dyDescent="0.2">
      <c r="E4153" s="70"/>
      <c r="FT4153" s="44"/>
    </row>
    <row r="4154" spans="5:176" x14ac:dyDescent="0.2">
      <c r="E4154" s="70"/>
      <c r="FT4154" s="44"/>
    </row>
    <row r="4155" spans="5:176" x14ac:dyDescent="0.2">
      <c r="E4155" s="70"/>
      <c r="FT4155" s="44"/>
    </row>
    <row r="4156" spans="5:176" x14ac:dyDescent="0.2">
      <c r="E4156" s="70"/>
      <c r="FT4156" s="44"/>
    </row>
    <row r="4157" spans="5:176" x14ac:dyDescent="0.2">
      <c r="E4157" s="70"/>
      <c r="FT4157" s="44"/>
    </row>
    <row r="4158" spans="5:176" x14ac:dyDescent="0.2">
      <c r="E4158" s="70"/>
      <c r="FT4158" s="44"/>
    </row>
    <row r="4159" spans="5:176" x14ac:dyDescent="0.2">
      <c r="E4159" s="70"/>
      <c r="FT4159" s="44"/>
    </row>
    <row r="4160" spans="5:176" x14ac:dyDescent="0.2">
      <c r="E4160" s="70"/>
      <c r="FT4160" s="44"/>
    </row>
    <row r="4161" spans="5:176" x14ac:dyDescent="0.2">
      <c r="E4161" s="70"/>
      <c r="FT4161" s="44"/>
    </row>
    <row r="4162" spans="5:176" x14ac:dyDescent="0.2">
      <c r="E4162" s="70"/>
      <c r="FT4162" s="44"/>
    </row>
    <row r="4163" spans="5:176" x14ac:dyDescent="0.2">
      <c r="E4163" s="70"/>
      <c r="FT4163" s="44"/>
    </row>
    <row r="4164" spans="5:176" x14ac:dyDescent="0.2">
      <c r="E4164" s="70"/>
      <c r="FT4164" s="44"/>
    </row>
    <row r="4165" spans="5:176" x14ac:dyDescent="0.2">
      <c r="E4165" s="70"/>
      <c r="FT4165" s="44"/>
    </row>
    <row r="4166" spans="5:176" x14ac:dyDescent="0.2">
      <c r="E4166" s="70"/>
      <c r="FT4166" s="44"/>
    </row>
    <row r="4167" spans="5:176" x14ac:dyDescent="0.2">
      <c r="E4167" s="70"/>
      <c r="FT4167" s="44"/>
    </row>
    <row r="4168" spans="5:176" x14ac:dyDescent="0.2">
      <c r="E4168" s="70"/>
      <c r="FT4168" s="44"/>
    </row>
    <row r="4169" spans="5:176" x14ac:dyDescent="0.2">
      <c r="E4169" s="70"/>
      <c r="FT4169" s="44"/>
    </row>
    <row r="4170" spans="5:176" x14ac:dyDescent="0.2">
      <c r="E4170" s="70"/>
      <c r="FT4170" s="44"/>
    </row>
    <row r="4171" spans="5:176" x14ac:dyDescent="0.2">
      <c r="E4171" s="70"/>
      <c r="FT4171" s="44"/>
    </row>
    <row r="4172" spans="5:176" x14ac:dyDescent="0.2">
      <c r="E4172" s="70"/>
      <c r="FT4172" s="44"/>
    </row>
    <row r="4173" spans="5:176" x14ac:dyDescent="0.2">
      <c r="E4173" s="70"/>
      <c r="FT4173" s="44"/>
    </row>
    <row r="4174" spans="5:176" x14ac:dyDescent="0.2">
      <c r="E4174" s="70"/>
      <c r="FT4174" s="44"/>
    </row>
    <row r="4175" spans="5:176" x14ac:dyDescent="0.2">
      <c r="E4175" s="70"/>
      <c r="FT4175" s="44"/>
    </row>
    <row r="4176" spans="5:176" x14ac:dyDescent="0.2">
      <c r="E4176" s="70"/>
      <c r="FT4176" s="44"/>
    </row>
    <row r="4177" spans="5:176" x14ac:dyDescent="0.2">
      <c r="E4177" s="70"/>
      <c r="FT4177" s="44"/>
    </row>
    <row r="4178" spans="5:176" x14ac:dyDescent="0.2">
      <c r="E4178" s="70"/>
      <c r="FT4178" s="44"/>
    </row>
    <row r="4179" spans="5:176" x14ac:dyDescent="0.2">
      <c r="E4179" s="70"/>
      <c r="FT4179" s="44"/>
    </row>
    <row r="4180" spans="5:176" x14ac:dyDescent="0.2">
      <c r="E4180" s="70"/>
      <c r="FT4180" s="44"/>
    </row>
    <row r="4181" spans="5:176" x14ac:dyDescent="0.2">
      <c r="E4181" s="70"/>
      <c r="FT4181" s="44"/>
    </row>
    <row r="4182" spans="5:176" x14ac:dyDescent="0.2">
      <c r="E4182" s="70"/>
      <c r="FT4182" s="44"/>
    </row>
    <row r="4183" spans="5:176" x14ac:dyDescent="0.2">
      <c r="E4183" s="70"/>
      <c r="FT4183" s="44"/>
    </row>
    <row r="4184" spans="5:176" x14ac:dyDescent="0.2">
      <c r="E4184" s="70"/>
      <c r="FT4184" s="44"/>
    </row>
    <row r="4185" spans="5:176" x14ac:dyDescent="0.2">
      <c r="E4185" s="70"/>
      <c r="FT4185" s="44"/>
    </row>
    <row r="4186" spans="5:176" x14ac:dyDescent="0.2">
      <c r="E4186" s="70"/>
      <c r="FT4186" s="44"/>
    </row>
    <row r="4187" spans="5:176" x14ac:dyDescent="0.2">
      <c r="E4187" s="70"/>
      <c r="FT4187" s="44"/>
    </row>
    <row r="4188" spans="5:176" x14ac:dyDescent="0.2">
      <c r="E4188" s="70"/>
      <c r="FT4188" s="44"/>
    </row>
    <row r="4189" spans="5:176" x14ac:dyDescent="0.2">
      <c r="E4189" s="70"/>
      <c r="FT4189" s="44"/>
    </row>
    <row r="4190" spans="5:176" x14ac:dyDescent="0.2">
      <c r="E4190" s="70"/>
      <c r="FT4190" s="44"/>
    </row>
    <row r="4191" spans="5:176" x14ac:dyDescent="0.2">
      <c r="E4191" s="70"/>
      <c r="FT4191" s="44"/>
    </row>
    <row r="4192" spans="5:176" x14ac:dyDescent="0.2">
      <c r="E4192" s="70"/>
      <c r="FT4192" s="44"/>
    </row>
    <row r="4193" spans="5:176" x14ac:dyDescent="0.2">
      <c r="E4193" s="70"/>
      <c r="FT4193" s="44"/>
    </row>
    <row r="4194" spans="5:176" x14ac:dyDescent="0.2">
      <c r="E4194" s="70"/>
      <c r="FT4194" s="44"/>
    </row>
    <row r="4195" spans="5:176" x14ac:dyDescent="0.2">
      <c r="E4195" s="70"/>
      <c r="FT4195" s="44"/>
    </row>
    <row r="4196" spans="5:176" x14ac:dyDescent="0.2">
      <c r="E4196" s="70"/>
      <c r="FT4196" s="44"/>
    </row>
    <row r="4197" spans="5:176" x14ac:dyDescent="0.2">
      <c r="E4197" s="70"/>
      <c r="FT4197" s="44"/>
    </row>
    <row r="4198" spans="5:176" x14ac:dyDescent="0.2">
      <c r="E4198" s="70"/>
      <c r="FT4198" s="44"/>
    </row>
    <row r="4199" spans="5:176" x14ac:dyDescent="0.2">
      <c r="E4199" s="70"/>
      <c r="FT4199" s="44"/>
    </row>
    <row r="4200" spans="5:176" x14ac:dyDescent="0.2">
      <c r="E4200" s="70"/>
      <c r="FT4200" s="44"/>
    </row>
    <row r="4201" spans="5:176" x14ac:dyDescent="0.2">
      <c r="E4201" s="70"/>
      <c r="FT4201" s="44"/>
    </row>
    <row r="4202" spans="5:176" x14ac:dyDescent="0.2">
      <c r="E4202" s="70"/>
      <c r="FT4202" s="44"/>
    </row>
    <row r="4203" spans="5:176" x14ac:dyDescent="0.2">
      <c r="E4203" s="70"/>
      <c r="FT4203" s="44"/>
    </row>
    <row r="4204" spans="5:176" x14ac:dyDescent="0.2">
      <c r="E4204" s="70"/>
      <c r="FT4204" s="44"/>
    </row>
    <row r="4205" spans="5:176" x14ac:dyDescent="0.2">
      <c r="E4205" s="70"/>
      <c r="FT4205" s="44"/>
    </row>
    <row r="4206" spans="5:176" x14ac:dyDescent="0.2">
      <c r="E4206" s="70"/>
      <c r="FT4206" s="44"/>
    </row>
    <row r="4207" spans="5:176" x14ac:dyDescent="0.2">
      <c r="E4207" s="70"/>
      <c r="FT4207" s="44"/>
    </row>
    <row r="4208" spans="5:176" x14ac:dyDescent="0.2">
      <c r="E4208" s="70"/>
      <c r="FT4208" s="44"/>
    </row>
    <row r="4209" spans="5:176" x14ac:dyDescent="0.2">
      <c r="E4209" s="70"/>
      <c r="FT4209" s="44"/>
    </row>
    <row r="4210" spans="5:176" x14ac:dyDescent="0.2">
      <c r="E4210" s="70"/>
      <c r="FT4210" s="44"/>
    </row>
    <row r="4211" spans="5:176" x14ac:dyDescent="0.2">
      <c r="E4211" s="70"/>
      <c r="FT4211" s="44"/>
    </row>
    <row r="4212" spans="5:176" x14ac:dyDescent="0.2">
      <c r="E4212" s="70"/>
      <c r="FT4212" s="44"/>
    </row>
    <row r="4213" spans="5:176" x14ac:dyDescent="0.2">
      <c r="E4213" s="70"/>
      <c r="FT4213" s="44"/>
    </row>
    <row r="4214" spans="5:176" x14ac:dyDescent="0.2">
      <c r="E4214" s="70"/>
      <c r="FT4214" s="44"/>
    </row>
    <row r="4215" spans="5:176" x14ac:dyDescent="0.2">
      <c r="E4215" s="70"/>
      <c r="FT4215" s="44"/>
    </row>
    <row r="4216" spans="5:176" x14ac:dyDescent="0.2">
      <c r="E4216" s="70"/>
      <c r="FT4216" s="44"/>
    </row>
    <row r="4217" spans="5:176" x14ac:dyDescent="0.2">
      <c r="E4217" s="70"/>
      <c r="FT4217" s="44"/>
    </row>
    <row r="4218" spans="5:176" x14ac:dyDescent="0.2">
      <c r="E4218" s="70"/>
      <c r="FT4218" s="44"/>
    </row>
    <row r="4219" spans="5:176" x14ac:dyDescent="0.2">
      <c r="E4219" s="70"/>
      <c r="FT4219" s="44"/>
    </row>
    <row r="4220" spans="5:176" x14ac:dyDescent="0.2">
      <c r="E4220" s="70"/>
      <c r="FT4220" s="44"/>
    </row>
    <row r="4221" spans="5:176" x14ac:dyDescent="0.2">
      <c r="E4221" s="70"/>
      <c r="FT4221" s="44"/>
    </row>
    <row r="4222" spans="5:176" x14ac:dyDescent="0.2">
      <c r="E4222" s="70"/>
      <c r="FT4222" s="44"/>
    </row>
    <row r="4223" spans="5:176" x14ac:dyDescent="0.2">
      <c r="E4223" s="70"/>
      <c r="FT4223" s="44"/>
    </row>
    <row r="4224" spans="5:176" x14ac:dyDescent="0.2">
      <c r="E4224" s="70"/>
      <c r="FT4224" s="44"/>
    </row>
    <row r="4225" spans="5:176" x14ac:dyDescent="0.2">
      <c r="E4225" s="70"/>
      <c r="FT4225" s="44"/>
    </row>
    <row r="4226" spans="5:176" x14ac:dyDescent="0.2">
      <c r="E4226" s="70"/>
      <c r="FT4226" s="44"/>
    </row>
    <row r="4227" spans="5:176" x14ac:dyDescent="0.2">
      <c r="E4227" s="70"/>
      <c r="FT4227" s="44"/>
    </row>
    <row r="4228" spans="5:176" x14ac:dyDescent="0.2">
      <c r="E4228" s="70"/>
      <c r="FT4228" s="44"/>
    </row>
    <row r="4229" spans="5:176" x14ac:dyDescent="0.2">
      <c r="E4229" s="70"/>
      <c r="FT4229" s="44"/>
    </row>
    <row r="4230" spans="5:176" x14ac:dyDescent="0.2">
      <c r="E4230" s="70"/>
      <c r="FT4230" s="44"/>
    </row>
    <row r="4231" spans="5:176" x14ac:dyDescent="0.2">
      <c r="E4231" s="70"/>
      <c r="FT4231" s="44"/>
    </row>
    <row r="4232" spans="5:176" x14ac:dyDescent="0.2">
      <c r="E4232" s="70"/>
      <c r="FT4232" s="44"/>
    </row>
    <row r="4233" spans="5:176" x14ac:dyDescent="0.2">
      <c r="E4233" s="70"/>
      <c r="FT4233" s="44"/>
    </row>
    <row r="4234" spans="5:176" x14ac:dyDescent="0.2">
      <c r="E4234" s="70"/>
      <c r="FT4234" s="44"/>
    </row>
    <row r="4235" spans="5:176" x14ac:dyDescent="0.2">
      <c r="E4235" s="70"/>
      <c r="FT4235" s="44"/>
    </row>
    <row r="4236" spans="5:176" x14ac:dyDescent="0.2">
      <c r="E4236" s="70"/>
      <c r="FT4236" s="44"/>
    </row>
    <row r="4237" spans="5:176" x14ac:dyDescent="0.2">
      <c r="E4237" s="70"/>
      <c r="FT4237" s="44"/>
    </row>
    <row r="4238" spans="5:176" x14ac:dyDescent="0.2">
      <c r="E4238" s="70"/>
      <c r="FT4238" s="44"/>
    </row>
    <row r="4239" spans="5:176" x14ac:dyDescent="0.2">
      <c r="E4239" s="70"/>
      <c r="FT4239" s="44"/>
    </row>
    <row r="4240" spans="5:176" x14ac:dyDescent="0.2">
      <c r="E4240" s="70"/>
      <c r="FT4240" s="44"/>
    </row>
    <row r="4241" spans="5:176" x14ac:dyDescent="0.2">
      <c r="E4241" s="70"/>
      <c r="FT4241" s="44"/>
    </row>
    <row r="4242" spans="5:176" x14ac:dyDescent="0.2">
      <c r="E4242" s="70"/>
      <c r="FT4242" s="44"/>
    </row>
    <row r="4243" spans="5:176" x14ac:dyDescent="0.2">
      <c r="E4243" s="70"/>
      <c r="FT4243" s="44"/>
    </row>
    <row r="4244" spans="5:176" x14ac:dyDescent="0.2">
      <c r="E4244" s="70"/>
      <c r="FT4244" s="44"/>
    </row>
    <row r="4245" spans="5:176" x14ac:dyDescent="0.2">
      <c r="E4245" s="70"/>
      <c r="FT4245" s="44"/>
    </row>
    <row r="4246" spans="5:176" x14ac:dyDescent="0.2">
      <c r="E4246" s="70"/>
      <c r="FT4246" s="44"/>
    </row>
    <row r="4247" spans="5:176" x14ac:dyDescent="0.2">
      <c r="E4247" s="70"/>
      <c r="FT4247" s="44"/>
    </row>
    <row r="4248" spans="5:176" x14ac:dyDescent="0.2">
      <c r="E4248" s="70"/>
      <c r="FT4248" s="44"/>
    </row>
    <row r="4249" spans="5:176" x14ac:dyDescent="0.2">
      <c r="E4249" s="70"/>
      <c r="FT4249" s="44"/>
    </row>
    <row r="4250" spans="5:176" x14ac:dyDescent="0.2">
      <c r="E4250" s="70"/>
      <c r="FT4250" s="44"/>
    </row>
    <row r="4251" spans="5:176" x14ac:dyDescent="0.2">
      <c r="E4251" s="70"/>
      <c r="FT4251" s="44"/>
    </row>
    <row r="4252" spans="5:176" x14ac:dyDescent="0.2">
      <c r="E4252" s="70"/>
      <c r="FT4252" s="44"/>
    </row>
    <row r="4253" spans="5:176" x14ac:dyDescent="0.2">
      <c r="E4253" s="70"/>
      <c r="FT4253" s="44"/>
    </row>
    <row r="4254" spans="5:176" x14ac:dyDescent="0.2">
      <c r="E4254" s="70"/>
      <c r="FT4254" s="44"/>
    </row>
    <row r="4255" spans="5:176" x14ac:dyDescent="0.2">
      <c r="E4255" s="70"/>
      <c r="FT4255" s="44"/>
    </row>
    <row r="4256" spans="5:176" x14ac:dyDescent="0.2">
      <c r="E4256" s="70"/>
      <c r="FT4256" s="44"/>
    </row>
    <row r="4257" spans="5:176" x14ac:dyDescent="0.2">
      <c r="E4257" s="70"/>
      <c r="FT4257" s="44"/>
    </row>
    <row r="4258" spans="5:176" x14ac:dyDescent="0.2">
      <c r="E4258" s="70"/>
      <c r="FT4258" s="44"/>
    </row>
    <row r="4259" spans="5:176" x14ac:dyDescent="0.2">
      <c r="E4259" s="70"/>
      <c r="FT4259" s="44"/>
    </row>
    <row r="4260" spans="5:176" x14ac:dyDescent="0.2">
      <c r="E4260" s="70"/>
      <c r="FT4260" s="44"/>
    </row>
    <row r="4261" spans="5:176" x14ac:dyDescent="0.2">
      <c r="E4261" s="70"/>
      <c r="FT4261" s="44"/>
    </row>
    <row r="4262" spans="5:176" x14ac:dyDescent="0.2">
      <c r="E4262" s="70"/>
      <c r="FT4262" s="44"/>
    </row>
    <row r="4263" spans="5:176" x14ac:dyDescent="0.2">
      <c r="E4263" s="70"/>
      <c r="FT4263" s="44"/>
    </row>
    <row r="4264" spans="5:176" x14ac:dyDescent="0.2">
      <c r="E4264" s="70"/>
      <c r="FT4264" s="44"/>
    </row>
    <row r="4265" spans="5:176" x14ac:dyDescent="0.2">
      <c r="E4265" s="70"/>
      <c r="FT4265" s="44"/>
    </row>
    <row r="4266" spans="5:176" x14ac:dyDescent="0.2">
      <c r="E4266" s="70"/>
      <c r="FT4266" s="44"/>
    </row>
    <row r="4267" spans="5:176" x14ac:dyDescent="0.2">
      <c r="E4267" s="70"/>
      <c r="FT4267" s="44"/>
    </row>
    <row r="4268" spans="5:176" x14ac:dyDescent="0.2">
      <c r="E4268" s="70"/>
      <c r="FT4268" s="44"/>
    </row>
    <row r="4269" spans="5:176" x14ac:dyDescent="0.2">
      <c r="E4269" s="70"/>
      <c r="FT4269" s="44"/>
    </row>
    <row r="4270" spans="5:176" x14ac:dyDescent="0.2">
      <c r="E4270" s="70"/>
      <c r="FT4270" s="44"/>
    </row>
    <row r="4271" spans="5:176" x14ac:dyDescent="0.2">
      <c r="E4271" s="70"/>
      <c r="FT4271" s="44"/>
    </row>
    <row r="4272" spans="5:176" x14ac:dyDescent="0.2">
      <c r="E4272" s="70"/>
      <c r="FT4272" s="44"/>
    </row>
    <row r="4273" spans="5:176" x14ac:dyDescent="0.2">
      <c r="E4273" s="70"/>
      <c r="FT4273" s="44"/>
    </row>
    <row r="4274" spans="5:176" x14ac:dyDescent="0.2">
      <c r="E4274" s="70"/>
      <c r="FT4274" s="44"/>
    </row>
    <row r="4275" spans="5:176" x14ac:dyDescent="0.2">
      <c r="E4275" s="70"/>
      <c r="FT4275" s="44"/>
    </row>
    <row r="4276" spans="5:176" x14ac:dyDescent="0.2">
      <c r="E4276" s="70"/>
      <c r="FT4276" s="44"/>
    </row>
    <row r="4277" spans="5:176" x14ac:dyDescent="0.2">
      <c r="E4277" s="70"/>
      <c r="FT4277" s="44"/>
    </row>
    <row r="4278" spans="5:176" x14ac:dyDescent="0.2">
      <c r="E4278" s="70"/>
      <c r="FT4278" s="44"/>
    </row>
    <row r="4279" spans="5:176" x14ac:dyDescent="0.2">
      <c r="E4279" s="70"/>
      <c r="FT4279" s="44"/>
    </row>
    <row r="4280" spans="5:176" x14ac:dyDescent="0.2">
      <c r="E4280" s="70"/>
      <c r="FT4280" s="44"/>
    </row>
    <row r="4281" spans="5:176" x14ac:dyDescent="0.2">
      <c r="E4281" s="70"/>
      <c r="FT4281" s="44"/>
    </row>
    <row r="4282" spans="5:176" x14ac:dyDescent="0.2">
      <c r="E4282" s="70"/>
      <c r="FT4282" s="44"/>
    </row>
    <row r="4283" spans="5:176" x14ac:dyDescent="0.2">
      <c r="E4283" s="70"/>
      <c r="FT4283" s="44"/>
    </row>
    <row r="4284" spans="5:176" x14ac:dyDescent="0.2">
      <c r="E4284" s="70"/>
      <c r="FT4284" s="44"/>
    </row>
    <row r="4285" spans="5:176" x14ac:dyDescent="0.2">
      <c r="E4285" s="70"/>
      <c r="FT4285" s="44"/>
    </row>
    <row r="4286" spans="5:176" x14ac:dyDescent="0.2">
      <c r="E4286" s="70"/>
      <c r="FT4286" s="44"/>
    </row>
    <row r="4287" spans="5:176" x14ac:dyDescent="0.2">
      <c r="E4287" s="70"/>
      <c r="FT4287" s="44"/>
    </row>
    <row r="4288" spans="5:176" x14ac:dyDescent="0.2">
      <c r="E4288" s="70"/>
      <c r="FT4288" s="44"/>
    </row>
    <row r="4289" spans="5:176" x14ac:dyDescent="0.2">
      <c r="E4289" s="70"/>
      <c r="FT4289" s="44"/>
    </row>
    <row r="4290" spans="5:176" x14ac:dyDescent="0.2">
      <c r="E4290" s="70"/>
      <c r="FT4290" s="44"/>
    </row>
    <row r="4291" spans="5:176" x14ac:dyDescent="0.2">
      <c r="E4291" s="70"/>
      <c r="FT4291" s="44"/>
    </row>
    <row r="4292" spans="5:176" x14ac:dyDescent="0.2">
      <c r="E4292" s="70"/>
      <c r="FT4292" s="44"/>
    </row>
    <row r="4293" spans="5:176" x14ac:dyDescent="0.2">
      <c r="E4293" s="70"/>
      <c r="FT4293" s="44"/>
    </row>
    <row r="4294" spans="5:176" x14ac:dyDescent="0.2">
      <c r="E4294" s="70"/>
      <c r="FT4294" s="44"/>
    </row>
    <row r="4295" spans="5:176" x14ac:dyDescent="0.2">
      <c r="E4295" s="70"/>
      <c r="FT4295" s="44"/>
    </row>
    <row r="4296" spans="5:176" x14ac:dyDescent="0.2">
      <c r="E4296" s="70"/>
      <c r="FT4296" s="44"/>
    </row>
    <row r="4297" spans="5:176" x14ac:dyDescent="0.2">
      <c r="E4297" s="70"/>
      <c r="FT4297" s="44"/>
    </row>
    <row r="4298" spans="5:176" x14ac:dyDescent="0.2">
      <c r="E4298" s="70"/>
      <c r="FT4298" s="44"/>
    </row>
    <row r="4299" spans="5:176" x14ac:dyDescent="0.2">
      <c r="E4299" s="70"/>
      <c r="FT4299" s="44"/>
    </row>
    <row r="4300" spans="5:176" x14ac:dyDescent="0.2">
      <c r="E4300" s="70"/>
      <c r="FT4300" s="44"/>
    </row>
    <row r="4301" spans="5:176" x14ac:dyDescent="0.2">
      <c r="E4301" s="70"/>
      <c r="FT4301" s="44"/>
    </row>
    <row r="4302" spans="5:176" x14ac:dyDescent="0.2">
      <c r="E4302" s="70"/>
      <c r="FT4302" s="44"/>
    </row>
    <row r="4303" spans="5:176" x14ac:dyDescent="0.2">
      <c r="E4303" s="70"/>
      <c r="FT4303" s="44"/>
    </row>
    <row r="4304" spans="5:176" x14ac:dyDescent="0.2">
      <c r="E4304" s="70"/>
      <c r="FT4304" s="44"/>
    </row>
    <row r="4305" spans="5:176" x14ac:dyDescent="0.2">
      <c r="E4305" s="70"/>
      <c r="FT4305" s="44"/>
    </row>
    <row r="4306" spans="5:176" x14ac:dyDescent="0.2">
      <c r="E4306" s="70"/>
      <c r="FT4306" s="44"/>
    </row>
    <row r="4307" spans="5:176" x14ac:dyDescent="0.2">
      <c r="E4307" s="70"/>
      <c r="CK4307" s="61"/>
      <c r="FT4307" s="44"/>
    </row>
    <row r="4308" spans="5:176" x14ac:dyDescent="0.2">
      <c r="E4308" s="70"/>
      <c r="FT4308" s="44"/>
    </row>
    <row r="4309" spans="5:176" x14ac:dyDescent="0.2">
      <c r="E4309" s="70"/>
      <c r="FT4309" s="44"/>
    </row>
    <row r="4310" spans="5:176" x14ac:dyDescent="0.2">
      <c r="E4310" s="70"/>
      <c r="FT4310" s="44"/>
    </row>
    <row r="4311" spans="5:176" x14ac:dyDescent="0.2">
      <c r="E4311" s="70"/>
      <c r="FT4311" s="44"/>
    </row>
    <row r="4312" spans="5:176" x14ac:dyDescent="0.2">
      <c r="E4312" s="70"/>
      <c r="FT4312" s="44"/>
    </row>
    <row r="4313" spans="5:176" x14ac:dyDescent="0.2">
      <c r="E4313" s="70"/>
      <c r="FT4313" s="44"/>
    </row>
    <row r="4314" spans="5:176" x14ac:dyDescent="0.2">
      <c r="E4314" s="70"/>
      <c r="CK4314" s="61"/>
      <c r="FT4314" s="44"/>
    </row>
    <row r="4315" spans="5:176" x14ac:dyDescent="0.2">
      <c r="E4315" s="70"/>
      <c r="FT4315" s="44"/>
    </row>
    <row r="4316" spans="5:176" x14ac:dyDescent="0.2">
      <c r="E4316" s="70"/>
      <c r="FT4316" s="44"/>
    </row>
    <row r="4317" spans="5:176" x14ac:dyDescent="0.2">
      <c r="E4317" s="70"/>
      <c r="FT4317" s="44"/>
    </row>
    <row r="4318" spans="5:176" x14ac:dyDescent="0.2">
      <c r="E4318" s="70"/>
      <c r="FT4318" s="44"/>
    </row>
    <row r="4319" spans="5:176" x14ac:dyDescent="0.2">
      <c r="E4319" s="70"/>
      <c r="FT4319" s="44"/>
    </row>
    <row r="4320" spans="5:176" x14ac:dyDescent="0.2">
      <c r="E4320" s="70"/>
      <c r="FT4320" s="44"/>
    </row>
    <row r="4321" spans="5:176" x14ac:dyDescent="0.2">
      <c r="E4321" s="70"/>
      <c r="FT4321" s="44"/>
    </row>
    <row r="4322" spans="5:176" x14ac:dyDescent="0.2">
      <c r="E4322" s="70"/>
      <c r="FT4322" s="44"/>
    </row>
    <row r="4323" spans="5:176" x14ac:dyDescent="0.2">
      <c r="E4323" s="70"/>
      <c r="FT4323" s="44"/>
    </row>
    <row r="4324" spans="5:176" x14ac:dyDescent="0.2">
      <c r="E4324" s="70"/>
      <c r="FT4324" s="44"/>
    </row>
    <row r="4325" spans="5:176" x14ac:dyDescent="0.2">
      <c r="E4325" s="70"/>
      <c r="FT4325" s="44"/>
    </row>
    <row r="4326" spans="5:176" x14ac:dyDescent="0.2">
      <c r="E4326" s="70"/>
      <c r="FT4326" s="44"/>
    </row>
    <row r="4327" spans="5:176" x14ac:dyDescent="0.2">
      <c r="E4327" s="70"/>
      <c r="FT4327" s="44"/>
    </row>
    <row r="4328" spans="5:176" x14ac:dyDescent="0.2">
      <c r="E4328" s="70"/>
      <c r="FT4328" s="44"/>
    </row>
    <row r="4329" spans="5:176" x14ac:dyDescent="0.2">
      <c r="E4329" s="70"/>
      <c r="FT4329" s="44"/>
    </row>
    <row r="4330" spans="5:176" x14ac:dyDescent="0.2">
      <c r="E4330" s="70"/>
      <c r="FT4330" s="44"/>
    </row>
    <row r="4331" spans="5:176" x14ac:dyDescent="0.2">
      <c r="E4331" s="70"/>
      <c r="FT4331" s="44"/>
    </row>
    <row r="4332" spans="5:176" x14ac:dyDescent="0.2">
      <c r="E4332" s="70"/>
      <c r="FT4332" s="44"/>
    </row>
    <row r="4333" spans="5:176" x14ac:dyDescent="0.2">
      <c r="E4333" s="70"/>
      <c r="FT4333" s="44"/>
    </row>
    <row r="4334" spans="5:176" x14ac:dyDescent="0.2">
      <c r="E4334" s="70"/>
      <c r="FT4334" s="44"/>
    </row>
    <row r="4335" spans="5:176" x14ac:dyDescent="0.2">
      <c r="E4335" s="70"/>
      <c r="FT4335" s="44"/>
    </row>
    <row r="4336" spans="5:176" x14ac:dyDescent="0.2">
      <c r="E4336" s="70"/>
      <c r="FT4336" s="44"/>
    </row>
    <row r="4337" spans="5:176" x14ac:dyDescent="0.2">
      <c r="E4337" s="70"/>
      <c r="FT4337" s="44"/>
    </row>
    <row r="4338" spans="5:176" x14ac:dyDescent="0.2">
      <c r="E4338" s="70"/>
      <c r="FT4338" s="44"/>
    </row>
    <row r="4339" spans="5:176" x14ac:dyDescent="0.2">
      <c r="E4339" s="70"/>
      <c r="FT4339" s="44"/>
    </row>
    <row r="4340" spans="5:176" x14ac:dyDescent="0.2">
      <c r="E4340" s="70"/>
      <c r="FT4340" s="44"/>
    </row>
    <row r="4341" spans="5:176" x14ac:dyDescent="0.2">
      <c r="E4341" s="70"/>
      <c r="FT4341" s="44"/>
    </row>
    <row r="4342" spans="5:176" x14ac:dyDescent="0.2">
      <c r="E4342" s="70"/>
      <c r="FT4342" s="44"/>
    </row>
    <row r="4343" spans="5:176" x14ac:dyDescent="0.2">
      <c r="E4343" s="70"/>
      <c r="FT4343" s="44"/>
    </row>
    <row r="4344" spans="5:176" x14ac:dyDescent="0.2">
      <c r="E4344" s="70"/>
      <c r="FT4344" s="44"/>
    </row>
    <row r="4345" spans="5:176" x14ac:dyDescent="0.2">
      <c r="E4345" s="70"/>
      <c r="FT4345" s="44"/>
    </row>
    <row r="4346" spans="5:176" x14ac:dyDescent="0.2">
      <c r="E4346" s="70"/>
      <c r="FT4346" s="44"/>
    </row>
    <row r="4347" spans="5:176" x14ac:dyDescent="0.2">
      <c r="E4347" s="70"/>
      <c r="FT4347" s="44"/>
    </row>
    <row r="4348" spans="5:176" x14ac:dyDescent="0.2">
      <c r="E4348" s="70"/>
      <c r="FT4348" s="44"/>
    </row>
    <row r="4349" spans="5:176" x14ac:dyDescent="0.2">
      <c r="E4349" s="70"/>
      <c r="FT4349" s="44"/>
    </row>
    <row r="4350" spans="5:176" x14ac:dyDescent="0.2">
      <c r="E4350" s="70"/>
      <c r="FT4350" s="44"/>
    </row>
    <row r="4351" spans="5:176" x14ac:dyDescent="0.2">
      <c r="E4351" s="70"/>
      <c r="FT4351" s="44"/>
    </row>
    <row r="4352" spans="5:176" x14ac:dyDescent="0.2">
      <c r="E4352" s="70"/>
      <c r="FT4352" s="44"/>
    </row>
    <row r="4353" spans="5:176" x14ac:dyDescent="0.2">
      <c r="E4353" s="70"/>
      <c r="FT4353" s="44"/>
    </row>
    <row r="4354" spans="5:176" x14ac:dyDescent="0.2">
      <c r="E4354" s="70"/>
      <c r="FT4354" s="44"/>
    </row>
    <row r="4355" spans="5:176" x14ac:dyDescent="0.2">
      <c r="E4355" s="70"/>
      <c r="FT4355" s="44"/>
    </row>
    <row r="4356" spans="5:176" x14ac:dyDescent="0.2">
      <c r="E4356" s="70"/>
      <c r="FT4356" s="44"/>
    </row>
    <row r="4357" spans="5:176" x14ac:dyDescent="0.2">
      <c r="E4357" s="70"/>
      <c r="FT4357" s="44"/>
    </row>
    <row r="4358" spans="5:176" x14ac:dyDescent="0.2">
      <c r="E4358" s="70"/>
      <c r="FT4358" s="44"/>
    </row>
    <row r="4359" spans="5:176" x14ac:dyDescent="0.2">
      <c r="E4359" s="70"/>
      <c r="FT4359" s="44"/>
    </row>
    <row r="4360" spans="5:176" x14ac:dyDescent="0.2">
      <c r="E4360" s="70"/>
      <c r="FT4360" s="44"/>
    </row>
    <row r="4361" spans="5:176" x14ac:dyDescent="0.2">
      <c r="E4361" s="70"/>
      <c r="FT4361" s="44"/>
    </row>
    <row r="4362" spans="5:176" x14ac:dyDescent="0.2">
      <c r="E4362" s="70"/>
      <c r="FT4362" s="44"/>
    </row>
    <row r="4363" spans="5:176" x14ac:dyDescent="0.2">
      <c r="E4363" s="70"/>
      <c r="FT4363" s="44"/>
    </row>
    <row r="4364" spans="5:176" x14ac:dyDescent="0.2">
      <c r="E4364" s="70"/>
      <c r="FT4364" s="44"/>
    </row>
    <row r="4365" spans="5:176" x14ac:dyDescent="0.2">
      <c r="E4365" s="70"/>
      <c r="FT4365" s="44"/>
    </row>
    <row r="4366" spans="5:176" x14ac:dyDescent="0.2">
      <c r="E4366" s="70"/>
      <c r="FT4366" s="44"/>
    </row>
    <row r="4367" spans="5:176" x14ac:dyDescent="0.2">
      <c r="E4367" s="70"/>
      <c r="FT4367" s="44"/>
    </row>
    <row r="4368" spans="5:176" x14ac:dyDescent="0.2">
      <c r="E4368" s="70"/>
      <c r="FT4368" s="44"/>
    </row>
    <row r="4369" spans="5:176" x14ac:dyDescent="0.2">
      <c r="E4369" s="70"/>
      <c r="FT4369" s="44"/>
    </row>
    <row r="4370" spans="5:176" x14ac:dyDescent="0.2">
      <c r="E4370" s="70"/>
      <c r="FT4370" s="44"/>
    </row>
    <row r="4371" spans="5:176" x14ac:dyDescent="0.2">
      <c r="E4371" s="70"/>
      <c r="FT4371" s="44"/>
    </row>
    <row r="4372" spans="5:176" x14ac:dyDescent="0.2">
      <c r="E4372" s="70"/>
      <c r="FT4372" s="44"/>
    </row>
    <row r="4373" spans="5:176" x14ac:dyDescent="0.2">
      <c r="E4373" s="70"/>
      <c r="FT4373" s="44"/>
    </row>
    <row r="4374" spans="5:176" x14ac:dyDescent="0.2">
      <c r="E4374" s="70"/>
      <c r="FT4374" s="44"/>
    </row>
    <row r="4375" spans="5:176" x14ac:dyDescent="0.2">
      <c r="E4375" s="70"/>
      <c r="FT4375" s="44"/>
    </row>
    <row r="4376" spans="5:176" x14ac:dyDescent="0.2">
      <c r="E4376" s="70"/>
      <c r="FT4376" s="44"/>
    </row>
    <row r="4377" spans="5:176" x14ac:dyDescent="0.2">
      <c r="E4377" s="70"/>
      <c r="FT4377" s="44"/>
    </row>
    <row r="4378" spans="5:176" x14ac:dyDescent="0.2">
      <c r="E4378" s="70"/>
      <c r="FT4378" s="44"/>
    </row>
    <row r="4379" spans="5:176" x14ac:dyDescent="0.2">
      <c r="E4379" s="70"/>
      <c r="FT4379" s="44"/>
    </row>
    <row r="4380" spans="5:176" x14ac:dyDescent="0.2">
      <c r="E4380" s="70"/>
      <c r="FT4380" s="44"/>
    </row>
    <row r="4381" spans="5:176" x14ac:dyDescent="0.2">
      <c r="E4381" s="70"/>
      <c r="FT4381" s="44"/>
    </row>
    <row r="4382" spans="5:176" x14ac:dyDescent="0.2">
      <c r="E4382" s="70"/>
      <c r="FT4382" s="44"/>
    </row>
    <row r="4383" spans="5:176" x14ac:dyDescent="0.2">
      <c r="E4383" s="70"/>
      <c r="FT4383" s="44"/>
    </row>
    <row r="4384" spans="5:176" x14ac:dyDescent="0.2">
      <c r="E4384" s="70"/>
      <c r="FT4384" s="44"/>
    </row>
    <row r="4385" spans="5:176" x14ac:dyDescent="0.2">
      <c r="E4385" s="70"/>
      <c r="FT4385" s="44"/>
    </row>
    <row r="4386" spans="5:176" x14ac:dyDescent="0.2">
      <c r="E4386" s="70"/>
      <c r="FT4386" s="44"/>
    </row>
    <row r="4387" spans="5:176" x14ac:dyDescent="0.2">
      <c r="E4387" s="70"/>
      <c r="FT4387" s="44"/>
    </row>
    <row r="4388" spans="5:176" x14ac:dyDescent="0.2">
      <c r="E4388" s="70"/>
      <c r="FT4388" s="44"/>
    </row>
    <row r="4389" spans="5:176" x14ac:dyDescent="0.2">
      <c r="E4389" s="70"/>
      <c r="FT4389" s="44"/>
    </row>
    <row r="4390" spans="5:176" x14ac:dyDescent="0.2">
      <c r="E4390" s="70"/>
      <c r="FT4390" s="44"/>
    </row>
    <row r="4391" spans="5:176" x14ac:dyDescent="0.2">
      <c r="E4391" s="70"/>
      <c r="FT4391" s="44"/>
    </row>
    <row r="4392" spans="5:176" x14ac:dyDescent="0.2">
      <c r="E4392" s="70"/>
      <c r="FT4392" s="44"/>
    </row>
    <row r="4393" spans="5:176" x14ac:dyDescent="0.2">
      <c r="E4393" s="70"/>
      <c r="FT4393" s="44"/>
    </row>
    <row r="4394" spans="5:176" x14ac:dyDescent="0.2">
      <c r="E4394" s="70"/>
      <c r="FT4394" s="44"/>
    </row>
    <row r="4395" spans="5:176" x14ac:dyDescent="0.2">
      <c r="E4395" s="70"/>
      <c r="FT4395" s="44"/>
    </row>
    <row r="4396" spans="5:176" x14ac:dyDescent="0.2">
      <c r="E4396" s="70"/>
      <c r="FT4396" s="44"/>
    </row>
    <row r="4397" spans="5:176" x14ac:dyDescent="0.2">
      <c r="E4397" s="70"/>
      <c r="FT4397" s="44"/>
    </row>
    <row r="4398" spans="5:176" x14ac:dyDescent="0.2">
      <c r="E4398" s="70"/>
      <c r="FT4398" s="44"/>
    </row>
    <row r="4399" spans="5:176" x14ac:dyDescent="0.2">
      <c r="E4399" s="70"/>
      <c r="FT4399" s="44"/>
    </row>
    <row r="4400" spans="5:176" x14ac:dyDescent="0.2">
      <c r="E4400" s="70"/>
      <c r="FT4400" s="44"/>
    </row>
    <row r="4401" spans="5:176" x14ac:dyDescent="0.2">
      <c r="E4401" s="70"/>
      <c r="FT4401" s="44"/>
    </row>
    <row r="4402" spans="5:176" x14ac:dyDescent="0.2">
      <c r="E4402" s="70"/>
      <c r="FT4402" s="44"/>
    </row>
    <row r="4403" spans="5:176" x14ac:dyDescent="0.2">
      <c r="E4403" s="70"/>
      <c r="FT4403" s="44"/>
    </row>
    <row r="4404" spans="5:176" x14ac:dyDescent="0.2">
      <c r="E4404" s="70"/>
      <c r="FT4404" s="44"/>
    </row>
    <row r="4405" spans="5:176" x14ac:dyDescent="0.2">
      <c r="E4405" s="70"/>
      <c r="FT4405" s="44"/>
    </row>
    <row r="4406" spans="5:176" x14ac:dyDescent="0.2">
      <c r="E4406" s="70"/>
      <c r="FT4406" s="44"/>
    </row>
    <row r="4407" spans="5:176" x14ac:dyDescent="0.2">
      <c r="E4407" s="70"/>
      <c r="FT4407" s="44"/>
    </row>
    <row r="4408" spans="5:176" x14ac:dyDescent="0.2">
      <c r="E4408" s="70"/>
      <c r="FT4408" s="44"/>
    </row>
    <row r="4409" spans="5:176" x14ac:dyDescent="0.2">
      <c r="E4409" s="70"/>
      <c r="FT4409" s="44"/>
    </row>
    <row r="4410" spans="5:176" x14ac:dyDescent="0.2">
      <c r="E4410" s="70"/>
      <c r="FT4410" s="44"/>
    </row>
    <row r="4411" spans="5:176" x14ac:dyDescent="0.2">
      <c r="E4411" s="70"/>
      <c r="FT4411" s="44"/>
    </row>
    <row r="4412" spans="5:176" x14ac:dyDescent="0.2">
      <c r="E4412" s="70"/>
      <c r="FT4412" s="44"/>
    </row>
    <row r="4413" spans="5:176" x14ac:dyDescent="0.2">
      <c r="E4413" s="70"/>
      <c r="FT4413" s="44"/>
    </row>
    <row r="4414" spans="5:176" x14ac:dyDescent="0.2">
      <c r="E4414" s="70"/>
      <c r="FT4414" s="44"/>
    </row>
    <row r="4415" spans="5:176" x14ac:dyDescent="0.2">
      <c r="E4415" s="70"/>
      <c r="FT4415" s="44"/>
    </row>
    <row r="4416" spans="5:176" x14ac:dyDescent="0.2">
      <c r="E4416" s="70"/>
      <c r="FT4416" s="44"/>
    </row>
    <row r="4417" spans="5:176" x14ac:dyDescent="0.2">
      <c r="E4417" s="70"/>
      <c r="FT4417" s="44"/>
    </row>
    <row r="4418" spans="5:176" x14ac:dyDescent="0.2">
      <c r="E4418" s="70"/>
      <c r="FT4418" s="44"/>
    </row>
    <row r="4419" spans="5:176" x14ac:dyDescent="0.2">
      <c r="E4419" s="70"/>
      <c r="FT4419" s="44"/>
    </row>
    <row r="4420" spans="5:176" x14ac:dyDescent="0.2">
      <c r="E4420" s="70"/>
      <c r="FT4420" s="44"/>
    </row>
    <row r="4421" spans="5:176" x14ac:dyDescent="0.2">
      <c r="E4421" s="70"/>
      <c r="FT4421" s="44"/>
    </row>
    <row r="4422" spans="5:176" x14ac:dyDescent="0.2">
      <c r="E4422" s="70"/>
      <c r="FT4422" s="44"/>
    </row>
    <row r="4423" spans="5:176" x14ac:dyDescent="0.2">
      <c r="E4423" s="70"/>
      <c r="FT4423" s="44"/>
    </row>
    <row r="4424" spans="5:176" x14ac:dyDescent="0.2">
      <c r="E4424" s="70"/>
      <c r="FT4424" s="44"/>
    </row>
    <row r="4425" spans="5:176" x14ac:dyDescent="0.2">
      <c r="E4425" s="70"/>
      <c r="FT4425" s="44"/>
    </row>
    <row r="4426" spans="5:176" x14ac:dyDescent="0.2">
      <c r="E4426" s="70"/>
      <c r="FT4426" s="44"/>
    </row>
    <row r="4427" spans="5:176" x14ac:dyDescent="0.2">
      <c r="E4427" s="70"/>
      <c r="FT4427" s="44"/>
    </row>
    <row r="4428" spans="5:176" x14ac:dyDescent="0.2">
      <c r="E4428" s="70"/>
      <c r="FT4428" s="44"/>
    </row>
    <row r="4429" spans="5:176" x14ac:dyDescent="0.2">
      <c r="E4429" s="70"/>
      <c r="FT4429" s="44"/>
    </row>
    <row r="4430" spans="5:176" x14ac:dyDescent="0.2">
      <c r="E4430" s="70"/>
      <c r="FT4430" s="44"/>
    </row>
    <row r="4431" spans="5:176" x14ac:dyDescent="0.2">
      <c r="E4431" s="70"/>
      <c r="FT4431" s="44"/>
    </row>
    <row r="4432" spans="5:176" x14ac:dyDescent="0.2">
      <c r="E4432" s="70"/>
      <c r="FT4432" s="44"/>
    </row>
    <row r="4433" spans="5:176" x14ac:dyDescent="0.2">
      <c r="E4433" s="70"/>
      <c r="FT4433" s="44"/>
    </row>
    <row r="4434" spans="5:176" x14ac:dyDescent="0.2">
      <c r="E4434" s="70"/>
      <c r="FT4434" s="44"/>
    </row>
    <row r="4435" spans="5:176" x14ac:dyDescent="0.2">
      <c r="E4435" s="70"/>
      <c r="FT4435" s="44"/>
    </row>
    <row r="4436" spans="5:176" x14ac:dyDescent="0.2">
      <c r="E4436" s="70"/>
      <c r="FT4436" s="44"/>
    </row>
    <row r="4437" spans="5:176" x14ac:dyDescent="0.2">
      <c r="E4437" s="70"/>
      <c r="FT4437" s="44"/>
    </row>
    <row r="4438" spans="5:176" x14ac:dyDescent="0.2">
      <c r="E4438" s="70"/>
      <c r="FT4438" s="44"/>
    </row>
    <row r="4439" spans="5:176" x14ac:dyDescent="0.2">
      <c r="E4439" s="70"/>
      <c r="FT4439" s="44"/>
    </row>
    <row r="4440" spans="5:176" x14ac:dyDescent="0.2">
      <c r="E4440" s="70"/>
      <c r="FT4440" s="44"/>
    </row>
    <row r="4441" spans="5:176" x14ac:dyDescent="0.2">
      <c r="E4441" s="70"/>
      <c r="FT4441" s="44"/>
    </row>
    <row r="4442" spans="5:176" x14ac:dyDescent="0.2">
      <c r="E4442" s="70"/>
      <c r="FT4442" s="44"/>
    </row>
    <row r="4443" spans="5:176" x14ac:dyDescent="0.2">
      <c r="E4443" s="70"/>
      <c r="FT4443" s="44"/>
    </row>
    <row r="4444" spans="5:176" x14ac:dyDescent="0.2">
      <c r="E4444" s="70"/>
      <c r="FT4444" s="44"/>
    </row>
    <row r="4445" spans="5:176" x14ac:dyDescent="0.2">
      <c r="E4445" s="70"/>
      <c r="FT4445" s="44"/>
    </row>
    <row r="4446" spans="5:176" x14ac:dyDescent="0.2">
      <c r="E4446" s="70"/>
      <c r="FT4446" s="44"/>
    </row>
    <row r="4447" spans="5:176" x14ac:dyDescent="0.2">
      <c r="E4447" s="70"/>
      <c r="FT4447" s="44"/>
    </row>
    <row r="4448" spans="5:176" x14ac:dyDescent="0.2">
      <c r="E4448" s="70"/>
      <c r="FT4448" s="44"/>
    </row>
    <row r="4449" spans="5:176" x14ac:dyDescent="0.2">
      <c r="E4449" s="70"/>
      <c r="FT4449" s="44"/>
    </row>
    <row r="4450" spans="5:176" x14ac:dyDescent="0.2">
      <c r="E4450" s="70"/>
      <c r="FT4450" s="44"/>
    </row>
    <row r="4451" spans="5:176" x14ac:dyDescent="0.2">
      <c r="E4451" s="70"/>
      <c r="FT4451" s="44"/>
    </row>
    <row r="4452" spans="5:176" x14ac:dyDescent="0.2">
      <c r="E4452" s="70"/>
      <c r="FT4452" s="44"/>
    </row>
    <row r="4453" spans="5:176" x14ac:dyDescent="0.2">
      <c r="E4453" s="70"/>
      <c r="FT4453" s="44"/>
    </row>
    <row r="4454" spans="5:176" x14ac:dyDescent="0.2">
      <c r="E4454" s="70"/>
      <c r="FT4454" s="44"/>
    </row>
    <row r="4455" spans="5:176" x14ac:dyDescent="0.2">
      <c r="E4455" s="70"/>
      <c r="FT4455" s="44"/>
    </row>
    <row r="4456" spans="5:176" x14ac:dyDescent="0.2">
      <c r="E4456" s="70"/>
      <c r="FT4456" s="44"/>
    </row>
    <row r="4457" spans="5:176" x14ac:dyDescent="0.2">
      <c r="E4457" s="70"/>
      <c r="FT4457" s="44"/>
    </row>
    <row r="4458" spans="5:176" x14ac:dyDescent="0.2">
      <c r="E4458" s="70"/>
      <c r="FT4458" s="44"/>
    </row>
    <row r="4459" spans="5:176" x14ac:dyDescent="0.2">
      <c r="E4459" s="70"/>
      <c r="FT4459" s="44"/>
    </row>
    <row r="4460" spans="5:176" x14ac:dyDescent="0.2">
      <c r="E4460" s="70"/>
      <c r="FT4460" s="44"/>
    </row>
    <row r="4461" spans="5:176" x14ac:dyDescent="0.2">
      <c r="E4461" s="70"/>
      <c r="FT4461" s="44"/>
    </row>
    <row r="4462" spans="5:176" x14ac:dyDescent="0.2">
      <c r="E4462" s="70"/>
      <c r="FT4462" s="44"/>
    </row>
    <row r="4463" spans="5:176" x14ac:dyDescent="0.2">
      <c r="E4463" s="70"/>
      <c r="FT4463" s="44"/>
    </row>
    <row r="4464" spans="5:176" x14ac:dyDescent="0.2">
      <c r="E4464" s="70"/>
      <c r="FT4464" s="44"/>
    </row>
    <row r="4465" spans="5:176" x14ac:dyDescent="0.2">
      <c r="E4465" s="70"/>
      <c r="FT4465" s="44"/>
    </row>
    <row r="4466" spans="5:176" x14ac:dyDescent="0.2">
      <c r="E4466" s="70"/>
      <c r="FT4466" s="44"/>
    </row>
    <row r="4467" spans="5:176" x14ac:dyDescent="0.2">
      <c r="E4467" s="70"/>
      <c r="FT4467" s="44"/>
    </row>
    <row r="4468" spans="5:176" x14ac:dyDescent="0.2">
      <c r="E4468" s="70"/>
      <c r="FT4468" s="44"/>
    </row>
    <row r="4469" spans="5:176" x14ac:dyDescent="0.2">
      <c r="E4469" s="70"/>
      <c r="FT4469" s="44"/>
    </row>
    <row r="4470" spans="5:176" x14ac:dyDescent="0.2">
      <c r="E4470" s="70"/>
      <c r="FT4470" s="44"/>
    </row>
    <row r="4471" spans="5:176" x14ac:dyDescent="0.2">
      <c r="E4471" s="70"/>
      <c r="FT4471" s="44"/>
    </row>
    <row r="4472" spans="5:176" x14ac:dyDescent="0.2">
      <c r="E4472" s="70"/>
      <c r="FT4472" s="44"/>
    </row>
    <row r="4473" spans="5:176" x14ac:dyDescent="0.2">
      <c r="E4473" s="70"/>
      <c r="FT4473" s="44"/>
    </row>
    <row r="4474" spans="5:176" x14ac:dyDescent="0.2">
      <c r="E4474" s="70"/>
      <c r="FT4474" s="44"/>
    </row>
    <row r="4475" spans="5:176" x14ac:dyDescent="0.2">
      <c r="E4475" s="70"/>
      <c r="FT4475" s="44"/>
    </row>
    <row r="4476" spans="5:176" x14ac:dyDescent="0.2">
      <c r="E4476" s="70"/>
      <c r="FT4476" s="44"/>
    </row>
    <row r="4477" spans="5:176" x14ac:dyDescent="0.2">
      <c r="E4477" s="70"/>
      <c r="FT4477" s="44"/>
    </row>
    <row r="4478" spans="5:176" x14ac:dyDescent="0.2">
      <c r="E4478" s="70"/>
      <c r="FT4478" s="44"/>
    </row>
    <row r="4479" spans="5:176" x14ac:dyDescent="0.2">
      <c r="E4479" s="70"/>
      <c r="FT4479" s="44"/>
    </row>
    <row r="4480" spans="5:176" x14ac:dyDescent="0.2">
      <c r="E4480" s="70"/>
      <c r="FT4480" s="44"/>
    </row>
    <row r="4481" spans="5:176" x14ac:dyDescent="0.2">
      <c r="E4481" s="70"/>
      <c r="FT4481" s="44"/>
    </row>
    <row r="4482" spans="5:176" x14ac:dyDescent="0.2">
      <c r="E4482" s="70"/>
      <c r="FT4482" s="44"/>
    </row>
    <row r="4483" spans="5:176" x14ac:dyDescent="0.2">
      <c r="E4483" s="70"/>
      <c r="FT4483" s="44"/>
    </row>
    <row r="4484" spans="5:176" x14ac:dyDescent="0.2">
      <c r="E4484" s="70"/>
      <c r="FT4484" s="44"/>
    </row>
    <row r="4485" spans="5:176" x14ac:dyDescent="0.2">
      <c r="E4485" s="70"/>
      <c r="FT4485" s="44"/>
    </row>
    <row r="4486" spans="5:176" x14ac:dyDescent="0.2">
      <c r="E4486" s="70"/>
      <c r="FT4486" s="44"/>
    </row>
    <row r="4487" spans="5:176" x14ac:dyDescent="0.2">
      <c r="E4487" s="70"/>
      <c r="FT4487" s="44"/>
    </row>
    <row r="4488" spans="5:176" x14ac:dyDescent="0.2">
      <c r="E4488" s="70"/>
      <c r="FT4488" s="44"/>
    </row>
    <row r="4489" spans="5:176" x14ac:dyDescent="0.2">
      <c r="E4489" s="70"/>
      <c r="FT4489" s="44"/>
    </row>
    <row r="4490" spans="5:176" x14ac:dyDescent="0.2">
      <c r="E4490" s="70"/>
      <c r="FT4490" s="44"/>
    </row>
    <row r="4491" spans="5:176" x14ac:dyDescent="0.2">
      <c r="E4491" s="70"/>
      <c r="FT4491" s="44"/>
    </row>
    <row r="4492" spans="5:176" x14ac:dyDescent="0.2">
      <c r="E4492" s="70"/>
      <c r="FT4492" s="44"/>
    </row>
    <row r="4493" spans="5:176" x14ac:dyDescent="0.2">
      <c r="E4493" s="70"/>
      <c r="FT4493" s="44"/>
    </row>
    <row r="4494" spans="5:176" x14ac:dyDescent="0.2">
      <c r="E4494" s="70"/>
      <c r="FT4494" s="44"/>
    </row>
    <row r="4495" spans="5:176" x14ac:dyDescent="0.2">
      <c r="E4495" s="70"/>
      <c r="FT4495" s="44"/>
    </row>
    <row r="4496" spans="5:176" x14ac:dyDescent="0.2">
      <c r="E4496" s="70"/>
      <c r="FT4496" s="44"/>
    </row>
    <row r="4497" spans="5:176" x14ac:dyDescent="0.2">
      <c r="E4497" s="70"/>
      <c r="FT4497" s="44"/>
    </row>
    <row r="4498" spans="5:176" x14ac:dyDescent="0.2">
      <c r="E4498" s="70"/>
      <c r="FT4498" s="44"/>
    </row>
    <row r="4499" spans="5:176" x14ac:dyDescent="0.2">
      <c r="E4499" s="70"/>
      <c r="FT4499" s="44"/>
    </row>
    <row r="4500" spans="5:176" x14ac:dyDescent="0.2">
      <c r="E4500" s="70"/>
      <c r="FT4500" s="44"/>
    </row>
    <row r="4501" spans="5:176" x14ac:dyDescent="0.2">
      <c r="E4501" s="70"/>
      <c r="FT4501" s="44"/>
    </row>
    <row r="4502" spans="5:176" x14ac:dyDescent="0.2">
      <c r="E4502" s="70"/>
      <c r="FT4502" s="44"/>
    </row>
    <row r="4503" spans="5:176" x14ac:dyDescent="0.2">
      <c r="E4503" s="70"/>
      <c r="FT4503" s="44"/>
    </row>
    <row r="4504" spans="5:176" x14ac:dyDescent="0.2">
      <c r="E4504" s="70"/>
      <c r="FT4504" s="44"/>
    </row>
    <row r="4505" spans="5:176" x14ac:dyDescent="0.2">
      <c r="E4505" s="70"/>
      <c r="FT4505" s="44"/>
    </row>
    <row r="4506" spans="5:176" x14ac:dyDescent="0.2">
      <c r="E4506" s="70"/>
      <c r="FT4506" s="44"/>
    </row>
    <row r="4507" spans="5:176" x14ac:dyDescent="0.2">
      <c r="E4507" s="70"/>
      <c r="FT4507" s="44"/>
    </row>
    <row r="4508" spans="5:176" x14ac:dyDescent="0.2">
      <c r="E4508" s="70"/>
      <c r="FT4508" s="44"/>
    </row>
    <row r="4509" spans="5:176" x14ac:dyDescent="0.2">
      <c r="E4509" s="70"/>
      <c r="FT4509" s="44"/>
    </row>
    <row r="4510" spans="5:176" x14ac:dyDescent="0.2">
      <c r="E4510" s="70"/>
      <c r="FT4510" s="44"/>
    </row>
    <row r="4511" spans="5:176" x14ac:dyDescent="0.2">
      <c r="E4511" s="70"/>
      <c r="FT4511" s="44"/>
    </row>
    <row r="4512" spans="5:176" x14ac:dyDescent="0.2">
      <c r="E4512" s="70"/>
      <c r="FT4512" s="44"/>
    </row>
    <row r="4513" spans="5:176" x14ac:dyDescent="0.2">
      <c r="E4513" s="70"/>
      <c r="FT4513" s="44"/>
    </row>
    <row r="4514" spans="5:176" x14ac:dyDescent="0.2">
      <c r="E4514" s="70"/>
      <c r="FT4514" s="44"/>
    </row>
    <row r="4515" spans="5:176" x14ac:dyDescent="0.2">
      <c r="E4515" s="70"/>
      <c r="FT4515" s="44"/>
    </row>
    <row r="4516" spans="5:176" x14ac:dyDescent="0.2">
      <c r="E4516" s="70"/>
      <c r="FT4516" s="44"/>
    </row>
    <row r="4517" spans="5:176" x14ac:dyDescent="0.2">
      <c r="E4517" s="70"/>
      <c r="FT4517" s="44"/>
    </row>
    <row r="4518" spans="5:176" x14ac:dyDescent="0.2">
      <c r="E4518" s="70"/>
      <c r="FT4518" s="44"/>
    </row>
    <row r="4519" spans="5:176" x14ac:dyDescent="0.2">
      <c r="E4519" s="70"/>
      <c r="FT4519" s="44"/>
    </row>
    <row r="4520" spans="5:176" x14ac:dyDescent="0.2">
      <c r="E4520" s="70"/>
      <c r="FT4520" s="44"/>
    </row>
    <row r="4521" spans="5:176" x14ac:dyDescent="0.2">
      <c r="E4521" s="70"/>
      <c r="FT4521" s="44"/>
    </row>
    <row r="4522" spans="5:176" x14ac:dyDescent="0.2">
      <c r="E4522" s="70"/>
      <c r="FT4522" s="44"/>
    </row>
    <row r="4523" spans="5:176" x14ac:dyDescent="0.2">
      <c r="E4523" s="70"/>
      <c r="FT4523" s="44"/>
    </row>
    <row r="4524" spans="5:176" x14ac:dyDescent="0.2">
      <c r="E4524" s="70"/>
      <c r="FT4524" s="44"/>
    </row>
    <row r="4525" spans="5:176" x14ac:dyDescent="0.2">
      <c r="E4525" s="70"/>
      <c r="FT4525" s="44"/>
    </row>
    <row r="4526" spans="5:176" x14ac:dyDescent="0.2">
      <c r="E4526" s="70"/>
      <c r="FT4526" s="44"/>
    </row>
    <row r="4527" spans="5:176" x14ac:dyDescent="0.2">
      <c r="E4527" s="70"/>
      <c r="FT4527" s="44"/>
    </row>
    <row r="4528" spans="5:176" x14ac:dyDescent="0.2">
      <c r="E4528" s="70"/>
      <c r="FT4528" s="44"/>
    </row>
    <row r="4529" spans="5:176" x14ac:dyDescent="0.2">
      <c r="E4529" s="70"/>
      <c r="FT4529" s="44"/>
    </row>
    <row r="4530" spans="5:176" x14ac:dyDescent="0.2">
      <c r="E4530" s="70"/>
      <c r="FT4530" s="44"/>
    </row>
    <row r="4531" spans="5:176" x14ac:dyDescent="0.2">
      <c r="E4531" s="70"/>
      <c r="FT4531" s="44"/>
    </row>
    <row r="4532" spans="5:176" x14ac:dyDescent="0.2">
      <c r="E4532" s="70"/>
      <c r="FT4532" s="44"/>
    </row>
    <row r="4533" spans="5:176" x14ac:dyDescent="0.2">
      <c r="E4533" s="70"/>
      <c r="FT4533" s="44"/>
    </row>
    <row r="4534" spans="5:176" x14ac:dyDescent="0.2">
      <c r="E4534" s="70"/>
      <c r="FT4534" s="44"/>
    </row>
    <row r="4535" spans="5:176" x14ac:dyDescent="0.2">
      <c r="E4535" s="70"/>
      <c r="FT4535" s="44"/>
    </row>
    <row r="4536" spans="5:176" x14ac:dyDescent="0.2">
      <c r="E4536" s="70"/>
      <c r="FT4536" s="44"/>
    </row>
    <row r="4537" spans="5:176" x14ac:dyDescent="0.2">
      <c r="E4537" s="70"/>
      <c r="FT4537" s="44"/>
    </row>
    <row r="4538" spans="5:176" x14ac:dyDescent="0.2">
      <c r="E4538" s="70"/>
      <c r="FT4538" s="44"/>
    </row>
    <row r="4539" spans="5:176" x14ac:dyDescent="0.2">
      <c r="E4539" s="70"/>
      <c r="FT4539" s="44"/>
    </row>
    <row r="4540" spans="5:176" x14ac:dyDescent="0.2">
      <c r="E4540" s="70"/>
      <c r="FT4540" s="44"/>
    </row>
    <row r="4541" spans="5:176" x14ac:dyDescent="0.2">
      <c r="E4541" s="70"/>
      <c r="FT4541" s="44"/>
    </row>
    <row r="4542" spans="5:176" x14ac:dyDescent="0.2">
      <c r="E4542" s="70"/>
      <c r="FT4542" s="44"/>
    </row>
    <row r="4543" spans="5:176" x14ac:dyDescent="0.2">
      <c r="E4543" s="70"/>
      <c r="FT4543" s="44"/>
    </row>
    <row r="4544" spans="5:176" x14ac:dyDescent="0.2">
      <c r="E4544" s="70"/>
      <c r="FT4544" s="44"/>
    </row>
    <row r="4545" spans="5:176" x14ac:dyDescent="0.2">
      <c r="E4545" s="70"/>
      <c r="FT4545" s="44"/>
    </row>
    <row r="4546" spans="5:176" x14ac:dyDescent="0.2">
      <c r="E4546" s="70"/>
      <c r="FT4546" s="44"/>
    </row>
    <row r="4547" spans="5:176" x14ac:dyDescent="0.2">
      <c r="E4547" s="70"/>
      <c r="FT4547" s="44"/>
    </row>
    <row r="4548" spans="5:176" x14ac:dyDescent="0.2">
      <c r="E4548" s="70"/>
      <c r="FT4548" s="44"/>
    </row>
    <row r="4549" spans="5:176" x14ac:dyDescent="0.2">
      <c r="E4549" s="70"/>
      <c r="FT4549" s="44"/>
    </row>
    <row r="4550" spans="5:176" x14ac:dyDescent="0.2">
      <c r="E4550" s="70"/>
      <c r="FT4550" s="44"/>
    </row>
    <row r="4551" spans="5:176" x14ac:dyDescent="0.2">
      <c r="E4551" s="70"/>
      <c r="FT4551" s="44"/>
    </row>
    <row r="4552" spans="5:176" x14ac:dyDescent="0.2">
      <c r="E4552" s="70"/>
      <c r="FT4552" s="44"/>
    </row>
    <row r="4553" spans="5:176" x14ac:dyDescent="0.2">
      <c r="E4553" s="70"/>
      <c r="FT4553" s="44"/>
    </row>
    <row r="4554" spans="5:176" x14ac:dyDescent="0.2">
      <c r="E4554" s="70"/>
      <c r="FT4554" s="44"/>
    </row>
    <row r="4555" spans="5:176" x14ac:dyDescent="0.2">
      <c r="E4555" s="70"/>
      <c r="FT4555" s="44"/>
    </row>
    <row r="4556" spans="5:176" x14ac:dyDescent="0.2">
      <c r="E4556" s="70"/>
      <c r="FT4556" s="44"/>
    </row>
    <row r="4557" spans="5:176" x14ac:dyDescent="0.2">
      <c r="E4557" s="70"/>
      <c r="FT4557" s="44"/>
    </row>
    <row r="4558" spans="5:176" x14ac:dyDescent="0.2">
      <c r="E4558" s="70"/>
      <c r="FT4558" s="44"/>
    </row>
    <row r="4559" spans="5:176" x14ac:dyDescent="0.2">
      <c r="E4559" s="70"/>
      <c r="FT4559" s="44"/>
    </row>
    <row r="4560" spans="5:176" x14ac:dyDescent="0.2">
      <c r="E4560" s="70"/>
      <c r="FT4560" s="44"/>
    </row>
    <row r="4561" spans="5:176" x14ac:dyDescent="0.2">
      <c r="E4561" s="70"/>
      <c r="FT4561" s="44"/>
    </row>
    <row r="4562" spans="5:176" x14ac:dyDescent="0.2">
      <c r="E4562" s="70"/>
      <c r="FT4562" s="44"/>
    </row>
    <row r="4563" spans="5:176" x14ac:dyDescent="0.2">
      <c r="E4563" s="70"/>
      <c r="FT4563" s="44"/>
    </row>
    <row r="4564" spans="5:176" x14ac:dyDescent="0.2">
      <c r="E4564" s="70"/>
      <c r="FT4564" s="44"/>
    </row>
    <row r="4565" spans="5:176" x14ac:dyDescent="0.2">
      <c r="E4565" s="70"/>
      <c r="FT4565" s="44"/>
    </row>
    <row r="4566" spans="5:176" x14ac:dyDescent="0.2">
      <c r="E4566" s="70"/>
      <c r="FT4566" s="44"/>
    </row>
    <row r="4567" spans="5:176" x14ac:dyDescent="0.2">
      <c r="E4567" s="70"/>
      <c r="FT4567" s="44"/>
    </row>
    <row r="4568" spans="5:176" x14ac:dyDescent="0.2">
      <c r="E4568" s="70"/>
      <c r="FT4568" s="44"/>
    </row>
    <row r="4569" spans="5:176" x14ac:dyDescent="0.2">
      <c r="E4569" s="70"/>
      <c r="FT4569" s="44"/>
    </row>
    <row r="4570" spans="5:176" x14ac:dyDescent="0.2">
      <c r="E4570" s="70"/>
      <c r="FT4570" s="44"/>
    </row>
    <row r="4571" spans="5:176" x14ac:dyDescent="0.2">
      <c r="E4571" s="70"/>
      <c r="FT4571" s="44"/>
    </row>
    <row r="4572" spans="5:176" x14ac:dyDescent="0.2">
      <c r="E4572" s="70"/>
      <c r="FT4572" s="44"/>
    </row>
    <row r="4573" spans="5:176" x14ac:dyDescent="0.2">
      <c r="E4573" s="70"/>
      <c r="FT4573" s="44"/>
    </row>
    <row r="4574" spans="5:176" x14ac:dyDescent="0.2">
      <c r="E4574" s="70"/>
      <c r="FT4574" s="44"/>
    </row>
    <row r="4575" spans="5:176" x14ac:dyDescent="0.2">
      <c r="E4575" s="70"/>
      <c r="FT4575" s="44"/>
    </row>
    <row r="4576" spans="5:176" x14ac:dyDescent="0.2">
      <c r="E4576" s="70"/>
      <c r="FT4576" s="44"/>
    </row>
    <row r="4577" spans="5:176" x14ac:dyDescent="0.2">
      <c r="E4577" s="70"/>
      <c r="FT4577" s="44"/>
    </row>
    <row r="4578" spans="5:176" x14ac:dyDescent="0.2">
      <c r="E4578" s="70"/>
      <c r="FT4578" s="44"/>
    </row>
    <row r="4579" spans="5:176" x14ac:dyDescent="0.2">
      <c r="E4579" s="70"/>
      <c r="FT4579" s="44"/>
    </row>
    <row r="4580" spans="5:176" x14ac:dyDescent="0.2">
      <c r="E4580" s="70"/>
      <c r="FT4580" s="44"/>
    </row>
    <row r="4581" spans="5:176" x14ac:dyDescent="0.2">
      <c r="E4581" s="70"/>
      <c r="FT4581" s="44"/>
    </row>
    <row r="4582" spans="5:176" x14ac:dyDescent="0.2">
      <c r="E4582" s="70"/>
      <c r="FT4582" s="44"/>
    </row>
    <row r="4583" spans="5:176" x14ac:dyDescent="0.2">
      <c r="E4583" s="70"/>
      <c r="FT4583" s="44"/>
    </row>
    <row r="4584" spans="5:176" x14ac:dyDescent="0.2">
      <c r="E4584" s="70"/>
      <c r="FT4584" s="44"/>
    </row>
    <row r="4585" spans="5:176" x14ac:dyDescent="0.2">
      <c r="E4585" s="70"/>
      <c r="FT4585" s="44"/>
    </row>
    <row r="4586" spans="5:176" x14ac:dyDescent="0.2">
      <c r="E4586" s="70"/>
      <c r="FT4586" s="44"/>
    </row>
    <row r="4587" spans="5:176" x14ac:dyDescent="0.2">
      <c r="E4587" s="70"/>
      <c r="FT4587" s="44"/>
    </row>
    <row r="4588" spans="5:176" x14ac:dyDescent="0.2">
      <c r="E4588" s="70"/>
      <c r="FT4588" s="44"/>
    </row>
    <row r="4589" spans="5:176" x14ac:dyDescent="0.2">
      <c r="E4589" s="70"/>
      <c r="FT4589" s="44"/>
    </row>
    <row r="4590" spans="5:176" x14ac:dyDescent="0.2">
      <c r="E4590" s="70"/>
      <c r="FT4590" s="44"/>
    </row>
    <row r="4591" spans="5:176" x14ac:dyDescent="0.2">
      <c r="E4591" s="70"/>
      <c r="FT4591" s="44"/>
    </row>
    <row r="4592" spans="5:176" x14ac:dyDescent="0.2">
      <c r="E4592" s="70"/>
      <c r="FT4592" s="44"/>
    </row>
    <row r="4593" spans="5:176" x14ac:dyDescent="0.2">
      <c r="E4593" s="70"/>
      <c r="FT4593" s="44"/>
    </row>
    <row r="4594" spans="5:176" x14ac:dyDescent="0.2">
      <c r="E4594" s="70"/>
      <c r="FT4594" s="44"/>
    </row>
    <row r="4595" spans="5:176" x14ac:dyDescent="0.2">
      <c r="E4595" s="70"/>
      <c r="FT4595" s="44"/>
    </row>
    <row r="4596" spans="5:176" x14ac:dyDescent="0.2">
      <c r="E4596" s="70"/>
      <c r="FT4596" s="44"/>
    </row>
    <row r="4597" spans="5:176" x14ac:dyDescent="0.2">
      <c r="E4597" s="70"/>
      <c r="FT4597" s="44"/>
    </row>
    <row r="4598" spans="5:176" x14ac:dyDescent="0.2">
      <c r="E4598" s="70"/>
      <c r="FT4598" s="44"/>
    </row>
    <row r="4599" spans="5:176" x14ac:dyDescent="0.2">
      <c r="E4599" s="70"/>
      <c r="FT4599" s="44"/>
    </row>
    <row r="4600" spans="5:176" x14ac:dyDescent="0.2">
      <c r="E4600" s="70"/>
      <c r="FT4600" s="44"/>
    </row>
    <row r="4601" spans="5:176" x14ac:dyDescent="0.2">
      <c r="E4601" s="70"/>
      <c r="FT4601" s="44"/>
    </row>
    <row r="4602" spans="5:176" x14ac:dyDescent="0.2">
      <c r="E4602" s="70"/>
      <c r="FT4602" s="44"/>
    </row>
    <row r="4603" spans="5:176" x14ac:dyDescent="0.2">
      <c r="E4603" s="70"/>
      <c r="FT4603" s="44"/>
    </row>
    <row r="4604" spans="5:176" x14ac:dyDescent="0.2">
      <c r="E4604" s="70"/>
      <c r="FT4604" s="44"/>
    </row>
    <row r="4605" spans="5:176" x14ac:dyDescent="0.2">
      <c r="E4605" s="70"/>
      <c r="FT4605" s="44"/>
    </row>
    <row r="4606" spans="5:176" x14ac:dyDescent="0.2">
      <c r="E4606" s="70"/>
      <c r="FT4606" s="44"/>
    </row>
    <row r="4607" spans="5:176" x14ac:dyDescent="0.2">
      <c r="E4607" s="70"/>
      <c r="FT4607" s="44"/>
    </row>
    <row r="4608" spans="5:176" x14ac:dyDescent="0.2">
      <c r="E4608" s="70"/>
      <c r="FT4608" s="44"/>
    </row>
    <row r="4609" spans="5:176" x14ac:dyDescent="0.2">
      <c r="E4609" s="70"/>
      <c r="FT4609" s="44"/>
    </row>
    <row r="4610" spans="5:176" x14ac:dyDescent="0.2">
      <c r="E4610" s="70"/>
      <c r="FT4610" s="44"/>
    </row>
    <row r="4611" spans="5:176" x14ac:dyDescent="0.2">
      <c r="E4611" s="70"/>
      <c r="FT4611" s="44"/>
    </row>
    <row r="4612" spans="5:176" x14ac:dyDescent="0.2">
      <c r="E4612" s="70"/>
      <c r="FT4612" s="44"/>
    </row>
    <row r="4613" spans="5:176" x14ac:dyDescent="0.2">
      <c r="E4613" s="70"/>
      <c r="FT4613" s="44"/>
    </row>
    <row r="4614" spans="5:176" x14ac:dyDescent="0.2">
      <c r="E4614" s="70"/>
      <c r="FT4614" s="44"/>
    </row>
    <row r="4615" spans="5:176" x14ac:dyDescent="0.2">
      <c r="E4615" s="70"/>
      <c r="FT4615" s="44"/>
    </row>
    <row r="4616" spans="5:176" x14ac:dyDescent="0.2">
      <c r="E4616" s="70"/>
      <c r="FT4616" s="44"/>
    </row>
    <row r="4617" spans="5:176" x14ac:dyDescent="0.2">
      <c r="E4617" s="70"/>
      <c r="FT4617" s="44"/>
    </row>
    <row r="4618" spans="5:176" x14ac:dyDescent="0.2">
      <c r="E4618" s="70"/>
      <c r="FT4618" s="44"/>
    </row>
    <row r="4619" spans="5:176" x14ac:dyDescent="0.2">
      <c r="E4619" s="70"/>
      <c r="FT4619" s="44"/>
    </row>
    <row r="4620" spans="5:176" x14ac:dyDescent="0.2">
      <c r="E4620" s="70"/>
      <c r="FT4620" s="44"/>
    </row>
    <row r="4621" spans="5:176" x14ac:dyDescent="0.2">
      <c r="E4621" s="70"/>
      <c r="FT4621" s="44"/>
    </row>
    <row r="4622" spans="5:176" x14ac:dyDescent="0.2">
      <c r="E4622" s="70"/>
      <c r="FT4622" s="44"/>
    </row>
    <row r="4623" spans="5:176" x14ac:dyDescent="0.2">
      <c r="E4623" s="70"/>
      <c r="FT4623" s="44"/>
    </row>
    <row r="4624" spans="5:176" x14ac:dyDescent="0.2">
      <c r="E4624" s="70"/>
      <c r="FT4624" s="44"/>
    </row>
    <row r="4625" spans="5:176" x14ac:dyDescent="0.2">
      <c r="E4625" s="70"/>
      <c r="FT4625" s="44"/>
    </row>
    <row r="4626" spans="5:176" x14ac:dyDescent="0.2">
      <c r="E4626" s="70"/>
      <c r="FT4626" s="44"/>
    </row>
    <row r="4627" spans="5:176" x14ac:dyDescent="0.2">
      <c r="E4627" s="70"/>
      <c r="FT4627" s="44"/>
    </row>
    <row r="4628" spans="5:176" x14ac:dyDescent="0.2">
      <c r="E4628" s="70"/>
      <c r="FT4628" s="44"/>
    </row>
    <row r="4629" spans="5:176" x14ac:dyDescent="0.2">
      <c r="E4629" s="70"/>
      <c r="FT4629" s="44"/>
    </row>
    <row r="4630" spans="5:176" x14ac:dyDescent="0.2">
      <c r="E4630" s="70"/>
      <c r="FT4630" s="44"/>
    </row>
    <row r="4631" spans="5:176" x14ac:dyDescent="0.2">
      <c r="E4631" s="70"/>
      <c r="FT4631" s="44"/>
    </row>
    <row r="4632" spans="5:176" x14ac:dyDescent="0.2">
      <c r="E4632" s="70"/>
      <c r="FT4632" s="44"/>
    </row>
    <row r="4633" spans="5:176" x14ac:dyDescent="0.2">
      <c r="E4633" s="70"/>
      <c r="FT4633" s="44"/>
    </row>
    <row r="4634" spans="5:176" x14ac:dyDescent="0.2">
      <c r="E4634" s="70"/>
      <c r="FT4634" s="44"/>
    </row>
    <row r="4635" spans="5:176" x14ac:dyDescent="0.2">
      <c r="E4635" s="70"/>
      <c r="FT4635" s="44"/>
    </row>
    <row r="4636" spans="5:176" x14ac:dyDescent="0.2">
      <c r="E4636" s="70"/>
      <c r="FT4636" s="44"/>
    </row>
    <row r="4637" spans="5:176" x14ac:dyDescent="0.2">
      <c r="E4637" s="70"/>
      <c r="FT4637" s="44"/>
    </row>
    <row r="4638" spans="5:176" x14ac:dyDescent="0.2">
      <c r="E4638" s="70"/>
      <c r="FT4638" s="44"/>
    </row>
    <row r="4639" spans="5:176" x14ac:dyDescent="0.2">
      <c r="E4639" s="70"/>
      <c r="FT4639" s="44"/>
    </row>
    <row r="4640" spans="5:176" x14ac:dyDescent="0.2">
      <c r="E4640" s="70"/>
      <c r="FT4640" s="44"/>
    </row>
    <row r="4641" spans="5:176" x14ac:dyDescent="0.2">
      <c r="E4641" s="70"/>
      <c r="FT4641" s="44"/>
    </row>
    <row r="4642" spans="5:176" x14ac:dyDescent="0.2">
      <c r="E4642" s="70"/>
      <c r="FT4642" s="44"/>
    </row>
    <row r="4643" spans="5:176" x14ac:dyDescent="0.2">
      <c r="E4643" s="70"/>
      <c r="FT4643" s="44"/>
    </row>
    <row r="4644" spans="5:176" x14ac:dyDescent="0.2">
      <c r="E4644" s="70"/>
      <c r="FT4644" s="44"/>
    </row>
    <row r="4645" spans="5:176" x14ac:dyDescent="0.2">
      <c r="E4645" s="70"/>
      <c r="FT4645" s="44"/>
    </row>
    <row r="4646" spans="5:176" x14ac:dyDescent="0.2">
      <c r="E4646" s="70"/>
      <c r="FT4646" s="44"/>
    </row>
    <row r="4647" spans="5:176" x14ac:dyDescent="0.2">
      <c r="E4647" s="70"/>
      <c r="FT4647" s="44"/>
    </row>
    <row r="4648" spans="5:176" x14ac:dyDescent="0.2">
      <c r="E4648" s="70"/>
      <c r="FT4648" s="44"/>
    </row>
    <row r="4649" spans="5:176" x14ac:dyDescent="0.2">
      <c r="E4649" s="70"/>
      <c r="FT4649" s="44"/>
    </row>
    <row r="4650" spans="5:176" x14ac:dyDescent="0.2">
      <c r="E4650" s="70"/>
      <c r="FT4650" s="44"/>
    </row>
    <row r="4651" spans="5:176" x14ac:dyDescent="0.2">
      <c r="E4651" s="70"/>
      <c r="FT4651" s="44"/>
    </row>
    <row r="4652" spans="5:176" x14ac:dyDescent="0.2">
      <c r="E4652" s="70"/>
      <c r="FT4652" s="44"/>
    </row>
    <row r="4653" spans="5:176" x14ac:dyDescent="0.2">
      <c r="E4653" s="70"/>
      <c r="FT4653" s="44"/>
    </row>
    <row r="4654" spans="5:176" x14ac:dyDescent="0.2">
      <c r="E4654" s="70"/>
      <c r="FT4654" s="44"/>
    </row>
    <row r="4655" spans="5:176" x14ac:dyDescent="0.2">
      <c r="E4655" s="70"/>
      <c r="FT4655" s="44"/>
    </row>
    <row r="4656" spans="5:176" x14ac:dyDescent="0.2">
      <c r="E4656" s="70"/>
      <c r="FT4656" s="44"/>
    </row>
    <row r="4657" spans="5:176" x14ac:dyDescent="0.2">
      <c r="E4657" s="70"/>
      <c r="FT4657" s="44"/>
    </row>
    <row r="4658" spans="5:176" x14ac:dyDescent="0.2">
      <c r="E4658" s="70"/>
      <c r="FT4658" s="44"/>
    </row>
    <row r="4659" spans="5:176" x14ac:dyDescent="0.2">
      <c r="E4659" s="70"/>
      <c r="FT4659" s="44"/>
    </row>
    <row r="4660" spans="5:176" x14ac:dyDescent="0.2">
      <c r="E4660" s="70"/>
      <c r="FT4660" s="44"/>
    </row>
    <row r="4661" spans="5:176" x14ac:dyDescent="0.2">
      <c r="E4661" s="70"/>
      <c r="FT4661" s="44"/>
    </row>
    <row r="4662" spans="5:176" x14ac:dyDescent="0.2">
      <c r="E4662" s="70"/>
      <c r="FT4662" s="44"/>
    </row>
    <row r="4663" spans="5:176" x14ac:dyDescent="0.2">
      <c r="E4663" s="70"/>
      <c r="FT4663" s="44"/>
    </row>
    <row r="4664" spans="5:176" x14ac:dyDescent="0.2">
      <c r="E4664" s="70"/>
      <c r="FT4664" s="44"/>
    </row>
    <row r="4665" spans="5:176" x14ac:dyDescent="0.2">
      <c r="E4665" s="70"/>
      <c r="FT4665" s="44"/>
    </row>
    <row r="4666" spans="5:176" x14ac:dyDescent="0.2">
      <c r="E4666" s="70"/>
      <c r="FT4666" s="44"/>
    </row>
    <row r="4667" spans="5:176" x14ac:dyDescent="0.2">
      <c r="E4667" s="70"/>
      <c r="FT4667" s="44"/>
    </row>
    <row r="4668" spans="5:176" x14ac:dyDescent="0.2">
      <c r="E4668" s="70"/>
      <c r="FT4668" s="44"/>
    </row>
    <row r="4669" spans="5:176" x14ac:dyDescent="0.2">
      <c r="E4669" s="70"/>
      <c r="FT4669" s="44"/>
    </row>
    <row r="4670" spans="5:176" x14ac:dyDescent="0.2">
      <c r="E4670" s="70"/>
      <c r="FT4670" s="44"/>
    </row>
    <row r="4671" spans="5:176" x14ac:dyDescent="0.2">
      <c r="E4671" s="70"/>
      <c r="FT4671" s="44"/>
    </row>
    <row r="4672" spans="5:176" x14ac:dyDescent="0.2">
      <c r="E4672" s="70"/>
      <c r="FT4672" s="44"/>
    </row>
    <row r="4673" spans="5:176" x14ac:dyDescent="0.2">
      <c r="E4673" s="70"/>
      <c r="FT4673" s="44"/>
    </row>
    <row r="4674" spans="5:176" x14ac:dyDescent="0.2">
      <c r="E4674" s="70"/>
      <c r="FT4674" s="44"/>
    </row>
    <row r="4675" spans="5:176" x14ac:dyDescent="0.2">
      <c r="E4675" s="70"/>
      <c r="FT4675" s="44"/>
    </row>
    <row r="4676" spans="5:176" x14ac:dyDescent="0.2">
      <c r="E4676" s="70"/>
      <c r="FT4676" s="44"/>
    </row>
    <row r="4677" spans="5:176" x14ac:dyDescent="0.2">
      <c r="E4677" s="70"/>
      <c r="FT4677" s="44"/>
    </row>
    <row r="4678" spans="5:176" x14ac:dyDescent="0.2">
      <c r="E4678" s="70"/>
      <c r="FT4678" s="44"/>
    </row>
    <row r="4679" spans="5:176" x14ac:dyDescent="0.2">
      <c r="E4679" s="70"/>
      <c r="FT4679" s="44"/>
    </row>
    <row r="4680" spans="5:176" x14ac:dyDescent="0.2">
      <c r="E4680" s="70"/>
      <c r="FT4680" s="44"/>
    </row>
    <row r="4681" spans="5:176" x14ac:dyDescent="0.2">
      <c r="E4681" s="70"/>
      <c r="FT4681" s="44"/>
    </row>
    <row r="4682" spans="5:176" x14ac:dyDescent="0.2">
      <c r="E4682" s="70"/>
      <c r="FT4682" s="44"/>
    </row>
    <row r="4683" spans="5:176" x14ac:dyDescent="0.2">
      <c r="E4683" s="70"/>
      <c r="FT4683" s="44"/>
    </row>
    <row r="4684" spans="5:176" x14ac:dyDescent="0.2">
      <c r="E4684" s="70"/>
      <c r="FT4684" s="44"/>
    </row>
    <row r="4685" spans="5:176" x14ac:dyDescent="0.2">
      <c r="E4685" s="70"/>
      <c r="FT4685" s="44"/>
    </row>
    <row r="4686" spans="5:176" x14ac:dyDescent="0.2">
      <c r="E4686" s="70"/>
      <c r="FT4686" s="44"/>
    </row>
    <row r="4687" spans="5:176" x14ac:dyDescent="0.2">
      <c r="E4687" s="70"/>
      <c r="FT4687" s="44"/>
    </row>
    <row r="4688" spans="5:176" x14ac:dyDescent="0.2">
      <c r="E4688" s="70"/>
      <c r="FT4688" s="44"/>
    </row>
    <row r="4689" spans="5:176" x14ac:dyDescent="0.2">
      <c r="E4689" s="70"/>
      <c r="FT4689" s="44"/>
    </row>
    <row r="4690" spans="5:176" x14ac:dyDescent="0.2">
      <c r="E4690" s="70"/>
      <c r="FT4690" s="44"/>
    </row>
    <row r="4691" spans="5:176" x14ac:dyDescent="0.2">
      <c r="E4691" s="70"/>
      <c r="FT4691" s="44"/>
    </row>
    <row r="4692" spans="5:176" x14ac:dyDescent="0.2">
      <c r="E4692" s="70"/>
      <c r="FT4692" s="44"/>
    </row>
    <row r="4693" spans="5:176" x14ac:dyDescent="0.2">
      <c r="E4693" s="70"/>
      <c r="FT4693" s="44"/>
    </row>
    <row r="4694" spans="5:176" x14ac:dyDescent="0.2">
      <c r="E4694" s="70"/>
      <c r="FT4694" s="44"/>
    </row>
    <row r="4695" spans="5:176" x14ac:dyDescent="0.2">
      <c r="E4695" s="70"/>
      <c r="FT4695" s="44"/>
    </row>
    <row r="4696" spans="5:176" x14ac:dyDescent="0.2">
      <c r="E4696" s="70"/>
      <c r="FT4696" s="44"/>
    </row>
    <row r="4697" spans="5:176" x14ac:dyDescent="0.2">
      <c r="E4697" s="70"/>
      <c r="FT4697" s="44"/>
    </row>
    <row r="4698" spans="5:176" x14ac:dyDescent="0.2">
      <c r="E4698" s="70"/>
      <c r="FT4698" s="44"/>
    </row>
    <row r="4699" spans="5:176" x14ac:dyDescent="0.2">
      <c r="E4699" s="70"/>
      <c r="FT4699" s="44"/>
    </row>
    <row r="4700" spans="5:176" x14ac:dyDescent="0.2">
      <c r="E4700" s="70"/>
      <c r="FT4700" s="44"/>
    </row>
    <row r="4701" spans="5:176" x14ac:dyDescent="0.2">
      <c r="E4701" s="70"/>
      <c r="FT4701" s="44"/>
    </row>
    <row r="4702" spans="5:176" x14ac:dyDescent="0.2">
      <c r="E4702" s="70"/>
      <c r="FT4702" s="44"/>
    </row>
    <row r="4703" spans="5:176" x14ac:dyDescent="0.2">
      <c r="E4703" s="70"/>
      <c r="FT4703" s="44"/>
    </row>
    <row r="4704" spans="5:176" x14ac:dyDescent="0.2">
      <c r="E4704" s="70"/>
      <c r="FT4704" s="44"/>
    </row>
    <row r="4705" spans="5:176" x14ac:dyDescent="0.2">
      <c r="E4705" s="70"/>
      <c r="FT4705" s="44"/>
    </row>
    <row r="4706" spans="5:176" x14ac:dyDescent="0.2">
      <c r="E4706" s="70"/>
      <c r="FT4706" s="44"/>
    </row>
    <row r="4707" spans="5:176" x14ac:dyDescent="0.2">
      <c r="E4707" s="70"/>
      <c r="FT4707" s="44"/>
    </row>
    <row r="4708" spans="5:176" x14ac:dyDescent="0.2">
      <c r="E4708" s="70"/>
      <c r="FT4708" s="44"/>
    </row>
    <row r="4709" spans="5:176" x14ac:dyDescent="0.2">
      <c r="E4709" s="70"/>
      <c r="FT4709" s="44"/>
    </row>
    <row r="4710" spans="5:176" x14ac:dyDescent="0.2">
      <c r="E4710" s="70"/>
      <c r="FT4710" s="44"/>
    </row>
    <row r="4711" spans="5:176" x14ac:dyDescent="0.2">
      <c r="E4711" s="70"/>
      <c r="FT4711" s="44"/>
    </row>
    <row r="4712" spans="5:176" x14ac:dyDescent="0.2">
      <c r="E4712" s="70"/>
      <c r="FT4712" s="44"/>
    </row>
    <row r="4713" spans="5:176" x14ac:dyDescent="0.2">
      <c r="E4713" s="70"/>
      <c r="FT4713" s="44"/>
    </row>
    <row r="4714" spans="5:176" x14ac:dyDescent="0.2">
      <c r="E4714" s="70"/>
      <c r="FT4714" s="44"/>
    </row>
    <row r="4715" spans="5:176" x14ac:dyDescent="0.2">
      <c r="E4715" s="70"/>
      <c r="FT4715" s="44"/>
    </row>
    <row r="4716" spans="5:176" x14ac:dyDescent="0.2">
      <c r="E4716" s="70"/>
      <c r="FT4716" s="44"/>
    </row>
    <row r="4717" spans="5:176" x14ac:dyDescent="0.2">
      <c r="E4717" s="70"/>
      <c r="FT4717" s="44"/>
    </row>
    <row r="4718" spans="5:176" x14ac:dyDescent="0.2">
      <c r="E4718" s="70"/>
      <c r="FT4718" s="44"/>
    </row>
    <row r="4719" spans="5:176" x14ac:dyDescent="0.2">
      <c r="E4719" s="70"/>
      <c r="FT4719" s="44"/>
    </row>
    <row r="4720" spans="5:176" x14ac:dyDescent="0.2">
      <c r="E4720" s="70"/>
      <c r="FT4720" s="44"/>
    </row>
    <row r="4721" spans="5:176" x14ac:dyDescent="0.2">
      <c r="E4721" s="70"/>
      <c r="FT4721" s="44"/>
    </row>
    <row r="4722" spans="5:176" x14ac:dyDescent="0.2">
      <c r="E4722" s="70"/>
      <c r="FT4722" s="44"/>
    </row>
    <row r="4723" spans="5:176" x14ac:dyDescent="0.2">
      <c r="E4723" s="70"/>
      <c r="FT4723" s="44"/>
    </row>
    <row r="4724" spans="5:176" x14ac:dyDescent="0.2">
      <c r="E4724" s="70"/>
      <c r="FT4724" s="44"/>
    </row>
    <row r="4725" spans="5:176" x14ac:dyDescent="0.2">
      <c r="E4725" s="70"/>
      <c r="FT4725" s="44"/>
    </row>
    <row r="4726" spans="5:176" x14ac:dyDescent="0.2">
      <c r="E4726" s="70"/>
      <c r="FT4726" s="44"/>
    </row>
    <row r="4727" spans="5:176" x14ac:dyDescent="0.2">
      <c r="E4727" s="70"/>
      <c r="FT4727" s="44"/>
    </row>
    <row r="4728" spans="5:176" x14ac:dyDescent="0.2">
      <c r="E4728" s="70"/>
      <c r="FT4728" s="44"/>
    </row>
    <row r="4729" spans="5:176" x14ac:dyDescent="0.2">
      <c r="E4729" s="70"/>
      <c r="FT4729" s="44"/>
    </row>
    <row r="4730" spans="5:176" x14ac:dyDescent="0.2">
      <c r="E4730" s="70"/>
      <c r="FT4730" s="44"/>
    </row>
    <row r="4731" spans="5:176" x14ac:dyDescent="0.2">
      <c r="E4731" s="70"/>
      <c r="FT4731" s="44"/>
    </row>
    <row r="4732" spans="5:176" x14ac:dyDescent="0.2">
      <c r="E4732" s="70"/>
      <c r="FT4732" s="44"/>
    </row>
    <row r="4733" spans="5:176" x14ac:dyDescent="0.2">
      <c r="E4733" s="70"/>
      <c r="FT4733" s="44"/>
    </row>
    <row r="4734" spans="5:176" x14ac:dyDescent="0.2">
      <c r="E4734" s="70"/>
      <c r="FT4734" s="44"/>
    </row>
    <row r="4735" spans="5:176" x14ac:dyDescent="0.2">
      <c r="E4735" s="70"/>
      <c r="FT4735" s="44"/>
    </row>
    <row r="4736" spans="5:176" x14ac:dyDescent="0.2">
      <c r="E4736" s="70"/>
      <c r="FT4736" s="44"/>
    </row>
    <row r="4737" spans="5:176" x14ac:dyDescent="0.2">
      <c r="E4737" s="70"/>
      <c r="FT4737" s="44"/>
    </row>
    <row r="4738" spans="5:176" x14ac:dyDescent="0.2">
      <c r="E4738" s="70"/>
      <c r="FT4738" s="44"/>
    </row>
    <row r="4739" spans="5:176" x14ac:dyDescent="0.2">
      <c r="E4739" s="70"/>
      <c r="FT4739" s="44"/>
    </row>
    <row r="4740" spans="5:176" x14ac:dyDescent="0.2">
      <c r="E4740" s="70"/>
      <c r="FT4740" s="44"/>
    </row>
    <row r="4741" spans="5:176" x14ac:dyDescent="0.2">
      <c r="E4741" s="70"/>
      <c r="FT4741" s="44"/>
    </row>
    <row r="4742" spans="5:176" x14ac:dyDescent="0.2">
      <c r="E4742" s="70"/>
      <c r="FT4742" s="44"/>
    </row>
    <row r="4743" spans="5:176" x14ac:dyDescent="0.2">
      <c r="E4743" s="70"/>
      <c r="FT4743" s="44"/>
    </row>
    <row r="4744" spans="5:176" x14ac:dyDescent="0.2">
      <c r="E4744" s="70"/>
      <c r="FT4744" s="44"/>
    </row>
    <row r="4745" spans="5:176" x14ac:dyDescent="0.2">
      <c r="E4745" s="70"/>
      <c r="FT4745" s="44"/>
    </row>
    <row r="4746" spans="5:176" x14ac:dyDescent="0.2">
      <c r="E4746" s="70"/>
      <c r="FT4746" s="44"/>
    </row>
    <row r="4747" spans="5:176" x14ac:dyDescent="0.2">
      <c r="E4747" s="70"/>
      <c r="FT4747" s="44"/>
    </row>
    <row r="4748" spans="5:176" x14ac:dyDescent="0.2">
      <c r="E4748" s="70"/>
      <c r="FT4748" s="44"/>
    </row>
    <row r="4749" spans="5:176" x14ac:dyDescent="0.2">
      <c r="E4749" s="70"/>
      <c r="FT4749" s="44"/>
    </row>
    <row r="4750" spans="5:176" x14ac:dyDescent="0.2">
      <c r="E4750" s="70"/>
      <c r="FT4750" s="44"/>
    </row>
    <row r="4751" spans="5:176" x14ac:dyDescent="0.2">
      <c r="E4751" s="70"/>
      <c r="FT4751" s="44"/>
    </row>
    <row r="4752" spans="5:176" x14ac:dyDescent="0.2">
      <c r="E4752" s="70"/>
      <c r="FT4752" s="44"/>
    </row>
    <row r="4753" spans="5:176" x14ac:dyDescent="0.2">
      <c r="E4753" s="70"/>
      <c r="FT4753" s="44"/>
    </row>
    <row r="4754" spans="5:176" x14ac:dyDescent="0.2">
      <c r="E4754" s="70"/>
      <c r="FT4754" s="44"/>
    </row>
    <row r="4755" spans="5:176" x14ac:dyDescent="0.2">
      <c r="E4755" s="70"/>
      <c r="FT4755" s="44"/>
    </row>
    <row r="4756" spans="5:176" x14ac:dyDescent="0.2">
      <c r="E4756" s="70"/>
      <c r="FT4756" s="44"/>
    </row>
    <row r="4757" spans="5:176" x14ac:dyDescent="0.2">
      <c r="E4757" s="70"/>
      <c r="FT4757" s="44"/>
    </row>
    <row r="4758" spans="5:176" x14ac:dyDescent="0.2">
      <c r="E4758" s="70"/>
      <c r="FT4758" s="44"/>
    </row>
    <row r="4759" spans="5:176" x14ac:dyDescent="0.2">
      <c r="E4759" s="70"/>
      <c r="FT4759" s="44"/>
    </row>
    <row r="4760" spans="5:176" x14ac:dyDescent="0.2">
      <c r="E4760" s="70"/>
      <c r="FT4760" s="44"/>
    </row>
    <row r="4761" spans="5:176" x14ac:dyDescent="0.2">
      <c r="E4761" s="70"/>
      <c r="FT4761" s="44"/>
    </row>
    <row r="4762" spans="5:176" x14ac:dyDescent="0.2">
      <c r="E4762" s="70"/>
      <c r="FT4762" s="44"/>
    </row>
    <row r="4763" spans="5:176" x14ac:dyDescent="0.2">
      <c r="E4763" s="70"/>
      <c r="FT4763" s="44"/>
    </row>
    <row r="4764" spans="5:176" x14ac:dyDescent="0.2">
      <c r="E4764" s="70"/>
      <c r="FT4764" s="44"/>
    </row>
    <row r="4765" spans="5:176" x14ac:dyDescent="0.2">
      <c r="E4765" s="70"/>
      <c r="FT4765" s="44"/>
    </row>
    <row r="4766" spans="5:176" x14ac:dyDescent="0.2">
      <c r="E4766" s="70"/>
      <c r="FT4766" s="44"/>
    </row>
    <row r="4767" spans="5:176" x14ac:dyDescent="0.2">
      <c r="E4767" s="70"/>
      <c r="FT4767" s="44"/>
    </row>
    <row r="4768" spans="5:176" x14ac:dyDescent="0.2">
      <c r="E4768" s="70"/>
      <c r="FT4768" s="44"/>
    </row>
    <row r="4769" spans="5:176" x14ac:dyDescent="0.2">
      <c r="E4769" s="70"/>
      <c r="FT4769" s="44"/>
    </row>
    <row r="4770" spans="5:176" x14ac:dyDescent="0.2">
      <c r="E4770" s="70"/>
      <c r="FT4770" s="44"/>
    </row>
    <row r="4771" spans="5:176" x14ac:dyDescent="0.2">
      <c r="E4771" s="70"/>
      <c r="FT4771" s="44"/>
    </row>
    <row r="4772" spans="5:176" x14ac:dyDescent="0.2">
      <c r="E4772" s="70"/>
      <c r="FT4772" s="44"/>
    </row>
    <row r="4773" spans="5:176" x14ac:dyDescent="0.2">
      <c r="E4773" s="70"/>
      <c r="FT4773" s="44"/>
    </row>
    <row r="4774" spans="5:176" x14ac:dyDescent="0.2">
      <c r="E4774" s="70"/>
      <c r="FT4774" s="44"/>
    </row>
    <row r="4775" spans="5:176" x14ac:dyDescent="0.2">
      <c r="E4775" s="70"/>
      <c r="FT4775" s="44"/>
    </row>
    <row r="4776" spans="5:176" x14ac:dyDescent="0.2">
      <c r="E4776" s="70"/>
      <c r="FT4776" s="44"/>
    </row>
    <row r="4777" spans="5:176" x14ac:dyDescent="0.2">
      <c r="E4777" s="70"/>
      <c r="FT4777" s="44"/>
    </row>
    <row r="4778" spans="5:176" x14ac:dyDescent="0.2">
      <c r="E4778" s="70"/>
      <c r="FT4778" s="44"/>
    </row>
    <row r="4779" spans="5:176" x14ac:dyDescent="0.2">
      <c r="E4779" s="70"/>
      <c r="FT4779" s="44"/>
    </row>
    <row r="4780" spans="5:176" x14ac:dyDescent="0.2">
      <c r="E4780" s="70"/>
      <c r="FT4780" s="44"/>
    </row>
    <row r="4781" spans="5:176" x14ac:dyDescent="0.2">
      <c r="E4781" s="70"/>
      <c r="FT4781" s="44"/>
    </row>
    <row r="4782" spans="5:176" x14ac:dyDescent="0.2">
      <c r="E4782" s="70"/>
      <c r="FT4782" s="44"/>
    </row>
    <row r="4783" spans="5:176" x14ac:dyDescent="0.2">
      <c r="E4783" s="70"/>
      <c r="FT4783" s="44"/>
    </row>
    <row r="4784" spans="5:176" x14ac:dyDescent="0.2">
      <c r="E4784" s="70"/>
      <c r="FT4784" s="44"/>
    </row>
    <row r="4785" spans="5:176" x14ac:dyDescent="0.2">
      <c r="E4785" s="70"/>
      <c r="FT4785" s="44"/>
    </row>
    <row r="4786" spans="5:176" x14ac:dyDescent="0.2">
      <c r="E4786" s="70"/>
      <c r="FT4786" s="44"/>
    </row>
    <row r="4787" spans="5:176" x14ac:dyDescent="0.2">
      <c r="E4787" s="70"/>
      <c r="FT4787" s="44"/>
    </row>
    <row r="4788" spans="5:176" x14ac:dyDescent="0.2">
      <c r="E4788" s="70"/>
      <c r="FT4788" s="44"/>
    </row>
    <row r="4789" spans="5:176" x14ac:dyDescent="0.2">
      <c r="E4789" s="70"/>
      <c r="FT4789" s="44"/>
    </row>
    <row r="4790" spans="5:176" x14ac:dyDescent="0.2">
      <c r="E4790" s="70"/>
      <c r="FT4790" s="44"/>
    </row>
    <row r="4791" spans="5:176" x14ac:dyDescent="0.2">
      <c r="E4791" s="70"/>
      <c r="FT4791" s="44"/>
    </row>
    <row r="4792" spans="5:176" x14ac:dyDescent="0.2">
      <c r="E4792" s="70"/>
      <c r="FT4792" s="44"/>
    </row>
    <row r="4793" spans="5:176" x14ac:dyDescent="0.2">
      <c r="E4793" s="70"/>
      <c r="FT4793" s="44"/>
    </row>
    <row r="4794" spans="5:176" x14ac:dyDescent="0.2">
      <c r="E4794" s="70"/>
      <c r="FT4794" s="44"/>
    </row>
    <row r="4795" spans="5:176" x14ac:dyDescent="0.2">
      <c r="E4795" s="70"/>
      <c r="FT4795" s="44"/>
    </row>
    <row r="4796" spans="5:176" x14ac:dyDescent="0.2">
      <c r="E4796" s="70"/>
      <c r="FT4796" s="44"/>
    </row>
    <row r="4797" spans="5:176" x14ac:dyDescent="0.2">
      <c r="E4797" s="70"/>
      <c r="FT4797" s="44"/>
    </row>
    <row r="4798" spans="5:176" x14ac:dyDescent="0.2">
      <c r="E4798" s="70"/>
      <c r="FT4798" s="44"/>
    </row>
    <row r="4799" spans="5:176" x14ac:dyDescent="0.2">
      <c r="E4799" s="70"/>
      <c r="FT4799" s="44"/>
    </row>
    <row r="4800" spans="5:176" x14ac:dyDescent="0.2">
      <c r="E4800" s="70"/>
      <c r="FT4800" s="44"/>
    </row>
    <row r="4801" spans="5:176" x14ac:dyDescent="0.2">
      <c r="E4801" s="70"/>
      <c r="FT4801" s="44"/>
    </row>
    <row r="4802" spans="5:176" x14ac:dyDescent="0.2">
      <c r="E4802" s="70"/>
      <c r="FT4802" s="44"/>
    </row>
    <row r="4803" spans="5:176" x14ac:dyDescent="0.2">
      <c r="E4803" s="70"/>
      <c r="FT4803" s="44"/>
    </row>
    <row r="4804" spans="5:176" x14ac:dyDescent="0.2">
      <c r="E4804" s="70"/>
      <c r="FT4804" s="44"/>
    </row>
    <row r="4805" spans="5:176" x14ac:dyDescent="0.2">
      <c r="E4805" s="70"/>
      <c r="FT4805" s="44"/>
    </row>
    <row r="4806" spans="5:176" x14ac:dyDescent="0.2">
      <c r="E4806" s="70"/>
      <c r="FT4806" s="44"/>
    </row>
    <row r="4807" spans="5:176" x14ac:dyDescent="0.2">
      <c r="E4807" s="70"/>
      <c r="FT4807" s="44"/>
    </row>
    <row r="4808" spans="5:176" x14ac:dyDescent="0.2">
      <c r="E4808" s="70"/>
      <c r="FT4808" s="44"/>
    </row>
    <row r="4809" spans="5:176" x14ac:dyDescent="0.2">
      <c r="E4809" s="70"/>
      <c r="FT4809" s="44"/>
    </row>
    <row r="4810" spans="5:176" x14ac:dyDescent="0.2">
      <c r="E4810" s="70"/>
      <c r="FT4810" s="44"/>
    </row>
    <row r="4811" spans="5:176" x14ac:dyDescent="0.2">
      <c r="E4811" s="70"/>
      <c r="FT4811" s="44"/>
    </row>
    <row r="4812" spans="5:176" x14ac:dyDescent="0.2">
      <c r="E4812" s="70"/>
      <c r="FT4812" s="44"/>
    </row>
    <row r="4813" spans="5:176" x14ac:dyDescent="0.2">
      <c r="E4813" s="70"/>
      <c r="FT4813" s="44"/>
    </row>
    <row r="4814" spans="5:176" x14ac:dyDescent="0.2">
      <c r="E4814" s="70"/>
      <c r="FT4814" s="44"/>
    </row>
    <row r="4815" spans="5:176" x14ac:dyDescent="0.2">
      <c r="E4815" s="70"/>
      <c r="FT4815" s="44"/>
    </row>
    <row r="4816" spans="5:176" x14ac:dyDescent="0.2">
      <c r="E4816" s="70"/>
      <c r="FT4816" s="44"/>
    </row>
    <row r="4817" spans="5:176" x14ac:dyDescent="0.2">
      <c r="E4817" s="70"/>
      <c r="FT4817" s="44"/>
    </row>
    <row r="4818" spans="5:176" x14ac:dyDescent="0.2">
      <c r="E4818" s="70"/>
      <c r="FT4818" s="44"/>
    </row>
    <row r="4819" spans="5:176" x14ac:dyDescent="0.2">
      <c r="E4819" s="70"/>
      <c r="FT4819" s="44"/>
    </row>
    <row r="4820" spans="5:176" x14ac:dyDescent="0.2">
      <c r="E4820" s="70"/>
      <c r="FT4820" s="44"/>
    </row>
    <row r="4821" spans="5:176" x14ac:dyDescent="0.2">
      <c r="E4821" s="70"/>
      <c r="FT4821" s="44"/>
    </row>
    <row r="4822" spans="5:176" x14ac:dyDescent="0.2">
      <c r="E4822" s="70"/>
      <c r="FT4822" s="44"/>
    </row>
    <row r="4823" spans="5:176" x14ac:dyDescent="0.2">
      <c r="E4823" s="70"/>
      <c r="FT4823" s="44"/>
    </row>
    <row r="4824" spans="5:176" x14ac:dyDescent="0.2">
      <c r="E4824" s="70"/>
      <c r="FT4824" s="44"/>
    </row>
    <row r="4825" spans="5:176" x14ac:dyDescent="0.2">
      <c r="E4825" s="70"/>
      <c r="FT4825" s="44"/>
    </row>
    <row r="4826" spans="5:176" x14ac:dyDescent="0.2">
      <c r="E4826" s="70"/>
      <c r="FT4826" s="44"/>
    </row>
    <row r="4827" spans="5:176" x14ac:dyDescent="0.2">
      <c r="E4827" s="70"/>
      <c r="FT4827" s="44"/>
    </row>
    <row r="4828" spans="5:176" x14ac:dyDescent="0.2">
      <c r="E4828" s="70"/>
      <c r="FT4828" s="44"/>
    </row>
    <row r="4829" spans="5:176" x14ac:dyDescent="0.2">
      <c r="E4829" s="70"/>
      <c r="FT4829" s="44"/>
    </row>
    <row r="4830" spans="5:176" x14ac:dyDescent="0.2">
      <c r="E4830" s="70"/>
      <c r="FT4830" s="44"/>
    </row>
    <row r="4831" spans="5:176" x14ac:dyDescent="0.2">
      <c r="E4831" s="70"/>
      <c r="FT4831" s="44"/>
    </row>
    <row r="4832" spans="5:176" x14ac:dyDescent="0.2">
      <c r="E4832" s="70"/>
      <c r="FT4832" s="44"/>
    </row>
    <row r="4833" spans="5:176" x14ac:dyDescent="0.2">
      <c r="E4833" s="70"/>
      <c r="FT4833" s="44"/>
    </row>
    <row r="4834" spans="5:176" x14ac:dyDescent="0.2">
      <c r="E4834" s="70"/>
      <c r="FT4834" s="44"/>
    </row>
    <row r="4835" spans="5:176" x14ac:dyDescent="0.2">
      <c r="E4835" s="70"/>
      <c r="FT4835" s="44"/>
    </row>
    <row r="4836" spans="5:176" x14ac:dyDescent="0.2">
      <c r="E4836" s="70"/>
      <c r="FT4836" s="44"/>
    </row>
    <row r="4837" spans="5:176" x14ac:dyDescent="0.2">
      <c r="E4837" s="70"/>
      <c r="FT4837" s="44"/>
    </row>
    <row r="4838" spans="5:176" x14ac:dyDescent="0.2">
      <c r="E4838" s="70"/>
      <c r="FT4838" s="44"/>
    </row>
    <row r="4839" spans="5:176" x14ac:dyDescent="0.2">
      <c r="E4839" s="70"/>
      <c r="FT4839" s="44"/>
    </row>
    <row r="4840" spans="5:176" x14ac:dyDescent="0.2">
      <c r="E4840" s="70"/>
      <c r="FT4840" s="44"/>
    </row>
    <row r="4841" spans="5:176" x14ac:dyDescent="0.2">
      <c r="E4841" s="70"/>
      <c r="FT4841" s="44"/>
    </row>
    <row r="4842" spans="5:176" x14ac:dyDescent="0.2">
      <c r="E4842" s="70"/>
      <c r="FT4842" s="44"/>
    </row>
    <row r="4843" spans="5:176" x14ac:dyDescent="0.2">
      <c r="E4843" s="70"/>
      <c r="FT4843" s="44"/>
    </row>
    <row r="4844" spans="5:176" x14ac:dyDescent="0.2">
      <c r="E4844" s="70"/>
      <c r="FT4844" s="44"/>
    </row>
    <row r="4845" spans="5:176" x14ac:dyDescent="0.2">
      <c r="E4845" s="70"/>
      <c r="FT4845" s="44"/>
    </row>
    <row r="4846" spans="5:176" x14ac:dyDescent="0.2">
      <c r="E4846" s="70"/>
      <c r="FT4846" s="44"/>
    </row>
    <row r="4847" spans="5:176" x14ac:dyDescent="0.2">
      <c r="E4847" s="70"/>
      <c r="FT4847" s="44"/>
    </row>
    <row r="4848" spans="5:176" x14ac:dyDescent="0.2">
      <c r="E4848" s="70"/>
      <c r="FT4848" s="44"/>
    </row>
    <row r="4849" spans="5:176" x14ac:dyDescent="0.2">
      <c r="E4849" s="70"/>
      <c r="FT4849" s="44"/>
    </row>
    <row r="4850" spans="5:176" x14ac:dyDescent="0.2">
      <c r="E4850" s="70"/>
      <c r="FT4850" s="44"/>
    </row>
    <row r="4851" spans="5:176" x14ac:dyDescent="0.2">
      <c r="E4851" s="70"/>
      <c r="FT4851" s="44"/>
    </row>
    <row r="4852" spans="5:176" x14ac:dyDescent="0.2">
      <c r="E4852" s="70"/>
      <c r="FT4852" s="44"/>
    </row>
    <row r="4853" spans="5:176" x14ac:dyDescent="0.2">
      <c r="E4853" s="70"/>
      <c r="FT4853" s="44"/>
    </row>
    <row r="4854" spans="5:176" x14ac:dyDescent="0.2">
      <c r="E4854" s="70"/>
      <c r="FT4854" s="44"/>
    </row>
    <row r="4855" spans="5:176" x14ac:dyDescent="0.2">
      <c r="E4855" s="70"/>
      <c r="FT4855" s="44"/>
    </row>
    <row r="4856" spans="5:176" x14ac:dyDescent="0.2">
      <c r="E4856" s="70"/>
      <c r="FT4856" s="44"/>
    </row>
    <row r="4857" spans="5:176" x14ac:dyDescent="0.2">
      <c r="E4857" s="70"/>
      <c r="FT4857" s="44"/>
    </row>
    <row r="4858" spans="5:176" x14ac:dyDescent="0.2">
      <c r="E4858" s="70"/>
      <c r="FT4858" s="44"/>
    </row>
    <row r="4859" spans="5:176" x14ac:dyDescent="0.2">
      <c r="E4859" s="70"/>
      <c r="FT4859" s="44"/>
    </row>
    <row r="4860" spans="5:176" x14ac:dyDescent="0.2">
      <c r="E4860" s="70"/>
      <c r="FT4860" s="44"/>
    </row>
    <row r="4861" spans="5:176" x14ac:dyDescent="0.2">
      <c r="E4861" s="70"/>
      <c r="FT4861" s="44"/>
    </row>
    <row r="4862" spans="5:176" x14ac:dyDescent="0.2">
      <c r="E4862" s="70"/>
      <c r="FT4862" s="44"/>
    </row>
    <row r="4863" spans="5:176" x14ac:dyDescent="0.2">
      <c r="E4863" s="70"/>
      <c r="FT4863" s="44"/>
    </row>
    <row r="4864" spans="5:176" x14ac:dyDescent="0.2">
      <c r="E4864" s="70"/>
      <c r="FT4864" s="44"/>
    </row>
    <row r="4865" spans="5:176" x14ac:dyDescent="0.2">
      <c r="E4865" s="70"/>
      <c r="FT4865" s="44"/>
    </row>
    <row r="4866" spans="5:176" x14ac:dyDescent="0.2">
      <c r="E4866" s="70"/>
      <c r="FT4866" s="44"/>
    </row>
    <row r="4867" spans="5:176" x14ac:dyDescent="0.2">
      <c r="E4867" s="70"/>
      <c r="FT4867" s="44"/>
    </row>
    <row r="4868" spans="5:176" x14ac:dyDescent="0.2">
      <c r="E4868" s="70"/>
      <c r="FT4868" s="44"/>
    </row>
    <row r="4869" spans="5:176" x14ac:dyDescent="0.2">
      <c r="E4869" s="70"/>
      <c r="FT4869" s="44"/>
    </row>
    <row r="4870" spans="5:176" x14ac:dyDescent="0.2">
      <c r="E4870" s="70"/>
      <c r="FT4870" s="44"/>
    </row>
    <row r="4871" spans="5:176" x14ac:dyDescent="0.2">
      <c r="E4871" s="70"/>
      <c r="FT4871" s="44"/>
    </row>
    <row r="4872" spans="5:176" x14ac:dyDescent="0.2">
      <c r="E4872" s="70"/>
      <c r="FT4872" s="44"/>
    </row>
    <row r="4873" spans="5:176" x14ac:dyDescent="0.2">
      <c r="E4873" s="70"/>
      <c r="FT4873" s="44"/>
    </row>
    <row r="4874" spans="5:176" x14ac:dyDescent="0.2">
      <c r="E4874" s="70"/>
      <c r="FT4874" s="44"/>
    </row>
    <row r="4875" spans="5:176" x14ac:dyDescent="0.2">
      <c r="E4875" s="70"/>
      <c r="FT4875" s="44"/>
    </row>
    <row r="4876" spans="5:176" x14ac:dyDescent="0.2">
      <c r="E4876" s="70"/>
      <c r="FT4876" s="44"/>
    </row>
    <row r="4877" spans="5:176" x14ac:dyDescent="0.2">
      <c r="E4877" s="70"/>
      <c r="FT4877" s="44"/>
    </row>
    <row r="4878" spans="5:176" x14ac:dyDescent="0.2">
      <c r="E4878" s="70"/>
      <c r="FT4878" s="44"/>
    </row>
    <row r="4879" spans="5:176" x14ac:dyDescent="0.2">
      <c r="E4879" s="70"/>
      <c r="FT4879" s="44"/>
    </row>
    <row r="4880" spans="5:176" x14ac:dyDescent="0.2">
      <c r="E4880" s="70"/>
      <c r="FT4880" s="44"/>
    </row>
    <row r="4881" spans="5:176" x14ac:dyDescent="0.2">
      <c r="E4881" s="70"/>
      <c r="FT4881" s="44"/>
    </row>
    <row r="4882" spans="5:176" x14ac:dyDescent="0.2">
      <c r="E4882" s="70"/>
      <c r="FT4882" s="44"/>
    </row>
    <row r="4883" spans="5:176" x14ac:dyDescent="0.2">
      <c r="E4883" s="70"/>
      <c r="FT4883" s="44"/>
    </row>
    <row r="4884" spans="5:176" x14ac:dyDescent="0.2">
      <c r="E4884" s="70"/>
      <c r="FT4884" s="44"/>
    </row>
    <row r="4885" spans="5:176" x14ac:dyDescent="0.2">
      <c r="E4885" s="70"/>
      <c r="FT4885" s="44"/>
    </row>
    <row r="4886" spans="5:176" x14ac:dyDescent="0.2">
      <c r="E4886" s="70"/>
      <c r="FT4886" s="44"/>
    </row>
    <row r="4887" spans="5:176" x14ac:dyDescent="0.2">
      <c r="E4887" s="70"/>
      <c r="FT4887" s="44"/>
    </row>
    <row r="4888" spans="5:176" x14ac:dyDescent="0.2">
      <c r="E4888" s="70"/>
      <c r="FT4888" s="44"/>
    </row>
    <row r="4889" spans="5:176" x14ac:dyDescent="0.2">
      <c r="E4889" s="70"/>
      <c r="FT4889" s="44"/>
    </row>
    <row r="4890" spans="5:176" x14ac:dyDescent="0.2">
      <c r="E4890" s="70"/>
      <c r="FT4890" s="44"/>
    </row>
    <row r="4891" spans="5:176" x14ac:dyDescent="0.2">
      <c r="E4891" s="70"/>
      <c r="FT4891" s="44"/>
    </row>
    <row r="4892" spans="5:176" x14ac:dyDescent="0.2">
      <c r="E4892" s="70"/>
      <c r="FT4892" s="44"/>
    </row>
    <row r="4893" spans="5:176" x14ac:dyDescent="0.2">
      <c r="E4893" s="70"/>
      <c r="FT4893" s="44"/>
    </row>
    <row r="4894" spans="5:176" x14ac:dyDescent="0.2">
      <c r="E4894" s="70"/>
      <c r="FT4894" s="44"/>
    </row>
    <row r="4895" spans="5:176" x14ac:dyDescent="0.2">
      <c r="E4895" s="70"/>
      <c r="FT4895" s="44"/>
    </row>
    <row r="4896" spans="5:176" x14ac:dyDescent="0.2">
      <c r="E4896" s="70"/>
      <c r="FT4896" s="44"/>
    </row>
    <row r="4897" spans="5:176" x14ac:dyDescent="0.2">
      <c r="E4897" s="70"/>
      <c r="FT4897" s="44"/>
    </row>
    <row r="4898" spans="5:176" x14ac:dyDescent="0.2">
      <c r="E4898" s="70"/>
      <c r="FT4898" s="44"/>
    </row>
    <row r="4899" spans="5:176" x14ac:dyDescent="0.2">
      <c r="E4899" s="70"/>
      <c r="FT4899" s="44"/>
    </row>
    <row r="4900" spans="5:176" x14ac:dyDescent="0.2">
      <c r="E4900" s="70"/>
      <c r="FT4900" s="44"/>
    </row>
    <row r="4901" spans="5:176" x14ac:dyDescent="0.2">
      <c r="E4901" s="70"/>
      <c r="FT4901" s="44"/>
    </row>
    <row r="4902" spans="5:176" x14ac:dyDescent="0.2">
      <c r="E4902" s="70"/>
      <c r="FT4902" s="44"/>
    </row>
    <row r="4903" spans="5:176" x14ac:dyDescent="0.2">
      <c r="E4903" s="70"/>
      <c r="FT4903" s="44"/>
    </row>
    <row r="4904" spans="5:176" x14ac:dyDescent="0.2">
      <c r="E4904" s="70"/>
      <c r="FT4904" s="44"/>
    </row>
    <row r="4905" spans="5:176" x14ac:dyDescent="0.2">
      <c r="E4905" s="70"/>
      <c r="FT4905" s="44"/>
    </row>
    <row r="4906" spans="5:176" x14ac:dyDescent="0.2">
      <c r="E4906" s="70"/>
      <c r="FT4906" s="44"/>
    </row>
    <row r="4907" spans="5:176" x14ac:dyDescent="0.2">
      <c r="E4907" s="70"/>
      <c r="FT4907" s="44"/>
    </row>
    <row r="4908" spans="5:176" x14ac:dyDescent="0.2">
      <c r="E4908" s="70"/>
      <c r="FT4908" s="44"/>
    </row>
    <row r="4909" spans="5:176" x14ac:dyDescent="0.2">
      <c r="E4909" s="70"/>
      <c r="FT4909" s="44"/>
    </row>
    <row r="4910" spans="5:176" x14ac:dyDescent="0.2">
      <c r="E4910" s="70"/>
      <c r="FT4910" s="44"/>
    </row>
    <row r="4911" spans="5:176" x14ac:dyDescent="0.2">
      <c r="E4911" s="70"/>
      <c r="FT4911" s="44"/>
    </row>
    <row r="4912" spans="5:176" x14ac:dyDescent="0.2">
      <c r="E4912" s="70"/>
      <c r="FT4912" s="44"/>
    </row>
    <row r="4913" spans="5:176" x14ac:dyDescent="0.2">
      <c r="E4913" s="70"/>
      <c r="FT4913" s="44"/>
    </row>
    <row r="4914" spans="5:176" x14ac:dyDescent="0.2">
      <c r="E4914" s="70"/>
      <c r="FT4914" s="44"/>
    </row>
    <row r="4915" spans="5:176" x14ac:dyDescent="0.2">
      <c r="E4915" s="70"/>
      <c r="FT4915" s="44"/>
    </row>
    <row r="4916" spans="5:176" x14ac:dyDescent="0.2">
      <c r="E4916" s="70"/>
      <c r="FT4916" s="44"/>
    </row>
    <row r="4917" spans="5:176" x14ac:dyDescent="0.2">
      <c r="E4917" s="70"/>
      <c r="FT4917" s="44"/>
    </row>
    <row r="4918" spans="5:176" x14ac:dyDescent="0.2">
      <c r="E4918" s="70"/>
      <c r="FT4918" s="44"/>
    </row>
    <row r="4919" spans="5:176" x14ac:dyDescent="0.2">
      <c r="E4919" s="70"/>
      <c r="FT4919" s="44"/>
    </row>
    <row r="4920" spans="5:176" x14ac:dyDescent="0.2">
      <c r="E4920" s="70"/>
      <c r="FT4920" s="44"/>
    </row>
    <row r="4921" spans="5:176" x14ac:dyDescent="0.2">
      <c r="E4921" s="70"/>
      <c r="FT4921" s="44"/>
    </row>
    <row r="4922" spans="5:176" x14ac:dyDescent="0.2">
      <c r="E4922" s="70"/>
      <c r="FT4922" s="44"/>
    </row>
    <row r="4923" spans="5:176" x14ac:dyDescent="0.2">
      <c r="E4923" s="70"/>
      <c r="FT4923" s="44"/>
    </row>
    <row r="4924" spans="5:176" x14ac:dyDescent="0.2">
      <c r="E4924" s="70"/>
      <c r="FT4924" s="44"/>
    </row>
    <row r="4925" spans="5:176" x14ac:dyDescent="0.2">
      <c r="E4925" s="70"/>
      <c r="FT4925" s="44"/>
    </row>
    <row r="4926" spans="5:176" x14ac:dyDescent="0.2">
      <c r="E4926" s="70"/>
      <c r="FT4926" s="44"/>
    </row>
    <row r="4927" spans="5:176" x14ac:dyDescent="0.2">
      <c r="E4927" s="70"/>
      <c r="FT4927" s="44"/>
    </row>
    <row r="4928" spans="5:176" x14ac:dyDescent="0.2">
      <c r="E4928" s="70"/>
      <c r="FT4928" s="44"/>
    </row>
    <row r="4929" spans="5:176" x14ac:dyDescent="0.2">
      <c r="E4929" s="70"/>
      <c r="FT4929" s="44"/>
    </row>
    <row r="4930" spans="5:176" x14ac:dyDescent="0.2">
      <c r="E4930" s="70"/>
      <c r="FT4930" s="44"/>
    </row>
    <row r="4931" spans="5:176" x14ac:dyDescent="0.2">
      <c r="E4931" s="70"/>
      <c r="FT4931" s="44"/>
    </row>
    <row r="4932" spans="5:176" x14ac:dyDescent="0.2">
      <c r="E4932" s="70"/>
      <c r="FT4932" s="44"/>
    </row>
    <row r="4933" spans="5:176" x14ac:dyDescent="0.2">
      <c r="E4933" s="70"/>
      <c r="FT4933" s="44"/>
    </row>
    <row r="4934" spans="5:176" x14ac:dyDescent="0.2">
      <c r="E4934" s="70"/>
      <c r="FT4934" s="44"/>
    </row>
    <row r="4935" spans="5:176" x14ac:dyDescent="0.2">
      <c r="E4935" s="70"/>
      <c r="FT4935" s="44"/>
    </row>
    <row r="4936" spans="5:176" x14ac:dyDescent="0.2">
      <c r="E4936" s="70"/>
      <c r="FT4936" s="44"/>
    </row>
    <row r="4937" spans="5:176" x14ac:dyDescent="0.2">
      <c r="E4937" s="70"/>
      <c r="FT4937" s="44"/>
    </row>
    <row r="4938" spans="5:176" x14ac:dyDescent="0.2">
      <c r="E4938" s="70"/>
      <c r="FT4938" s="44"/>
    </row>
    <row r="4939" spans="5:176" x14ac:dyDescent="0.2">
      <c r="E4939" s="70"/>
      <c r="FT4939" s="44"/>
    </row>
    <row r="4940" spans="5:176" x14ac:dyDescent="0.2">
      <c r="E4940" s="70"/>
      <c r="FT4940" s="44"/>
    </row>
    <row r="4941" spans="5:176" x14ac:dyDescent="0.2">
      <c r="E4941" s="70"/>
      <c r="FT4941" s="44"/>
    </row>
    <row r="4942" spans="5:176" x14ac:dyDescent="0.2">
      <c r="E4942" s="70"/>
      <c r="FT4942" s="44"/>
    </row>
    <row r="4943" spans="5:176" x14ac:dyDescent="0.2">
      <c r="E4943" s="70"/>
      <c r="FT4943" s="44"/>
    </row>
    <row r="4944" spans="5:176" x14ac:dyDescent="0.2">
      <c r="E4944" s="70"/>
      <c r="FT4944" s="44"/>
    </row>
    <row r="4945" spans="5:176" x14ac:dyDescent="0.2">
      <c r="E4945" s="70"/>
      <c r="FT4945" s="44"/>
    </row>
    <row r="4946" spans="5:176" x14ac:dyDescent="0.2">
      <c r="E4946" s="70"/>
      <c r="FT4946" s="44"/>
    </row>
    <row r="4947" spans="5:176" x14ac:dyDescent="0.2">
      <c r="E4947" s="70"/>
      <c r="FT4947" s="44"/>
    </row>
    <row r="4948" spans="5:176" x14ac:dyDescent="0.2">
      <c r="E4948" s="70"/>
      <c r="FT4948" s="44"/>
    </row>
    <row r="4949" spans="5:176" x14ac:dyDescent="0.2">
      <c r="E4949" s="70"/>
      <c r="FT4949" s="44"/>
    </row>
    <row r="4950" spans="5:176" x14ac:dyDescent="0.2">
      <c r="E4950" s="70"/>
      <c r="FT4950" s="44"/>
    </row>
    <row r="4951" spans="5:176" x14ac:dyDescent="0.2">
      <c r="E4951" s="70"/>
      <c r="FT4951" s="44"/>
    </row>
    <row r="4952" spans="5:176" x14ac:dyDescent="0.2">
      <c r="E4952" s="70"/>
      <c r="FT4952" s="44"/>
    </row>
    <row r="4953" spans="5:176" x14ac:dyDescent="0.2">
      <c r="E4953" s="70"/>
      <c r="FT4953" s="44"/>
    </row>
    <row r="4954" spans="5:176" x14ac:dyDescent="0.2">
      <c r="E4954" s="70"/>
      <c r="FT4954" s="44"/>
    </row>
    <row r="4955" spans="5:176" x14ac:dyDescent="0.2">
      <c r="E4955" s="70"/>
      <c r="FT4955" s="44"/>
    </row>
    <row r="4956" spans="5:176" x14ac:dyDescent="0.2">
      <c r="E4956" s="70"/>
      <c r="FT4956" s="44"/>
    </row>
    <row r="4957" spans="5:176" x14ac:dyDescent="0.2">
      <c r="E4957" s="70"/>
      <c r="FT4957" s="44"/>
    </row>
    <row r="4958" spans="5:176" x14ac:dyDescent="0.2">
      <c r="E4958" s="70"/>
      <c r="FT4958" s="44"/>
    </row>
    <row r="4959" spans="5:176" x14ac:dyDescent="0.2">
      <c r="E4959" s="70"/>
      <c r="FT4959" s="44"/>
    </row>
    <row r="4960" spans="5:176" x14ac:dyDescent="0.2">
      <c r="E4960" s="70"/>
      <c r="FT4960" s="44"/>
    </row>
    <row r="4961" spans="5:176" x14ac:dyDescent="0.2">
      <c r="E4961" s="70"/>
      <c r="FT4961" s="44"/>
    </row>
    <row r="4962" spans="5:176" x14ac:dyDescent="0.2">
      <c r="E4962" s="70"/>
      <c r="FT4962" s="44"/>
    </row>
    <row r="4963" spans="5:176" x14ac:dyDescent="0.2">
      <c r="E4963" s="70"/>
      <c r="FT4963" s="44"/>
    </row>
    <row r="4964" spans="5:176" x14ac:dyDescent="0.2">
      <c r="E4964" s="70"/>
      <c r="FT4964" s="44"/>
    </row>
    <row r="4965" spans="5:176" x14ac:dyDescent="0.2">
      <c r="E4965" s="70"/>
      <c r="FT4965" s="44"/>
    </row>
    <row r="4966" spans="5:176" x14ac:dyDescent="0.2">
      <c r="E4966" s="70"/>
      <c r="FT4966" s="44"/>
    </row>
    <row r="4967" spans="5:176" x14ac:dyDescent="0.2">
      <c r="E4967" s="70"/>
      <c r="FT4967" s="44"/>
    </row>
    <row r="4968" spans="5:176" x14ac:dyDescent="0.2">
      <c r="E4968" s="70"/>
      <c r="FT4968" s="44"/>
    </row>
    <row r="4969" spans="5:176" x14ac:dyDescent="0.2">
      <c r="E4969" s="70"/>
      <c r="FT4969" s="44"/>
    </row>
    <row r="4970" spans="5:176" x14ac:dyDescent="0.2">
      <c r="E4970" s="70"/>
      <c r="FT4970" s="44"/>
    </row>
    <row r="4971" spans="5:176" x14ac:dyDescent="0.2">
      <c r="E4971" s="70"/>
      <c r="FT4971" s="44"/>
    </row>
    <row r="4972" spans="5:176" x14ac:dyDescent="0.2">
      <c r="E4972" s="70"/>
      <c r="FT4972" s="44"/>
    </row>
    <row r="4973" spans="5:176" x14ac:dyDescent="0.2">
      <c r="E4973" s="70"/>
      <c r="FT4973" s="44"/>
    </row>
    <row r="4974" spans="5:176" x14ac:dyDescent="0.2">
      <c r="E4974" s="70"/>
      <c r="FT4974" s="44"/>
    </row>
    <row r="4975" spans="5:176" x14ac:dyDescent="0.2">
      <c r="E4975" s="70"/>
      <c r="FT4975" s="44"/>
    </row>
    <row r="4976" spans="5:176" x14ac:dyDescent="0.2">
      <c r="E4976" s="70"/>
      <c r="FT4976" s="44"/>
    </row>
    <row r="4977" spans="5:176" x14ac:dyDescent="0.2">
      <c r="E4977" s="70"/>
      <c r="FT4977" s="44"/>
    </row>
    <row r="4978" spans="5:176" x14ac:dyDescent="0.2">
      <c r="E4978" s="70"/>
      <c r="FT4978" s="44"/>
    </row>
    <row r="4979" spans="5:176" x14ac:dyDescent="0.2">
      <c r="E4979" s="70"/>
      <c r="FT4979" s="44"/>
    </row>
    <row r="4980" spans="5:176" x14ac:dyDescent="0.2">
      <c r="E4980" s="70"/>
      <c r="FT4980" s="44"/>
    </row>
    <row r="4981" spans="5:176" x14ac:dyDescent="0.2">
      <c r="E4981" s="70"/>
      <c r="FT4981" s="44"/>
    </row>
    <row r="4982" spans="5:176" x14ac:dyDescent="0.2">
      <c r="E4982" s="70"/>
      <c r="FT4982" s="44"/>
    </row>
    <row r="4983" spans="5:176" x14ac:dyDescent="0.2">
      <c r="E4983" s="70"/>
      <c r="FT4983" s="44"/>
    </row>
    <row r="4984" spans="5:176" x14ac:dyDescent="0.2">
      <c r="E4984" s="70"/>
      <c r="FT4984" s="44"/>
    </row>
    <row r="4985" spans="5:176" x14ac:dyDescent="0.2">
      <c r="E4985" s="70"/>
      <c r="FT4985" s="44"/>
    </row>
    <row r="4986" spans="5:176" x14ac:dyDescent="0.2">
      <c r="E4986" s="70"/>
      <c r="FT4986" s="44"/>
    </row>
    <row r="4987" spans="5:176" x14ac:dyDescent="0.2">
      <c r="E4987" s="70"/>
      <c r="FT4987" s="44"/>
    </row>
    <row r="4988" spans="5:176" x14ac:dyDescent="0.2">
      <c r="E4988" s="70"/>
      <c r="FT4988" s="44"/>
    </row>
    <row r="4989" spans="5:176" x14ac:dyDescent="0.2">
      <c r="E4989" s="70"/>
      <c r="FT4989" s="44"/>
    </row>
    <row r="4990" spans="5:176" x14ac:dyDescent="0.2">
      <c r="E4990" s="70"/>
      <c r="FT4990" s="44"/>
    </row>
    <row r="4991" spans="5:176" x14ac:dyDescent="0.2">
      <c r="E4991" s="70"/>
      <c r="FT4991" s="44"/>
    </row>
    <row r="4992" spans="5:176" x14ac:dyDescent="0.2">
      <c r="E4992" s="70"/>
      <c r="FT4992" s="44"/>
    </row>
    <row r="4993" spans="5:176" x14ac:dyDescent="0.2">
      <c r="E4993" s="70"/>
      <c r="FT4993" s="44"/>
    </row>
    <row r="4994" spans="5:176" x14ac:dyDescent="0.2">
      <c r="E4994" s="70"/>
      <c r="FT4994" s="44"/>
    </row>
    <row r="4995" spans="5:176" x14ac:dyDescent="0.2">
      <c r="E4995" s="70"/>
      <c r="FT4995" s="44"/>
    </row>
    <row r="4996" spans="5:176" x14ac:dyDescent="0.2">
      <c r="E4996" s="70"/>
      <c r="FT4996" s="44"/>
    </row>
    <row r="4997" spans="5:176" x14ac:dyDescent="0.2">
      <c r="E4997" s="70"/>
      <c r="FT4997" s="44"/>
    </row>
    <row r="4998" spans="5:176" x14ac:dyDescent="0.2">
      <c r="E4998" s="70"/>
      <c r="FT4998" s="44"/>
    </row>
    <row r="4999" spans="5:176" x14ac:dyDescent="0.2">
      <c r="E4999" s="70"/>
      <c r="FT4999" s="44"/>
    </row>
    <row r="5000" spans="5:176" x14ac:dyDescent="0.2">
      <c r="E5000" s="70"/>
      <c r="FT5000" s="44"/>
    </row>
    <row r="5001" spans="5:176" x14ac:dyDescent="0.2">
      <c r="E5001" s="70"/>
      <c r="FT5001" s="44"/>
    </row>
    <row r="5002" spans="5:176" x14ac:dyDescent="0.2">
      <c r="E5002" s="70"/>
      <c r="FT5002" s="44"/>
    </row>
    <row r="5003" spans="5:176" x14ac:dyDescent="0.2">
      <c r="E5003" s="70"/>
      <c r="FT5003" s="44"/>
    </row>
    <row r="5004" spans="5:176" x14ac:dyDescent="0.2">
      <c r="E5004" s="70"/>
      <c r="FT5004" s="44"/>
    </row>
    <row r="5005" spans="5:176" x14ac:dyDescent="0.2">
      <c r="E5005" s="70"/>
      <c r="FT5005" s="44"/>
    </row>
    <row r="5006" spans="5:176" x14ac:dyDescent="0.2">
      <c r="E5006" s="70"/>
      <c r="FT5006" s="44"/>
    </row>
    <row r="5007" spans="5:176" x14ac:dyDescent="0.2">
      <c r="E5007" s="70"/>
      <c r="FT5007" s="44"/>
    </row>
    <row r="5008" spans="5:176" x14ac:dyDescent="0.2">
      <c r="E5008" s="70"/>
      <c r="FT5008" s="44"/>
    </row>
    <row r="5009" spans="5:176" x14ac:dyDescent="0.2">
      <c r="E5009" s="70"/>
      <c r="FT5009" s="44"/>
    </row>
    <row r="5010" spans="5:176" x14ac:dyDescent="0.2">
      <c r="E5010" s="70"/>
      <c r="FT5010" s="44"/>
    </row>
    <row r="5011" spans="5:176" x14ac:dyDescent="0.2">
      <c r="E5011" s="70"/>
      <c r="FT5011" s="44"/>
    </row>
    <row r="5012" spans="5:176" x14ac:dyDescent="0.2">
      <c r="E5012" s="70"/>
      <c r="FT5012" s="44"/>
    </row>
    <row r="5013" spans="5:176" x14ac:dyDescent="0.2">
      <c r="E5013" s="70"/>
      <c r="FT5013" s="44"/>
    </row>
    <row r="5014" spans="5:176" x14ac:dyDescent="0.2">
      <c r="E5014" s="70"/>
      <c r="FT5014" s="44"/>
    </row>
    <row r="5015" spans="5:176" x14ac:dyDescent="0.2">
      <c r="E5015" s="70"/>
      <c r="FT5015" s="44"/>
    </row>
    <row r="5016" spans="5:176" x14ac:dyDescent="0.2">
      <c r="E5016" s="70"/>
      <c r="FT5016" s="44"/>
    </row>
    <row r="5017" spans="5:176" x14ac:dyDescent="0.2">
      <c r="E5017" s="70"/>
      <c r="FT5017" s="44"/>
    </row>
    <row r="5018" spans="5:176" x14ac:dyDescent="0.2">
      <c r="E5018" s="70"/>
      <c r="FT5018" s="44"/>
    </row>
    <row r="5019" spans="5:176" x14ac:dyDescent="0.2">
      <c r="E5019" s="70"/>
      <c r="FT5019" s="44"/>
    </row>
    <row r="5020" spans="5:176" x14ac:dyDescent="0.2">
      <c r="E5020" s="70"/>
      <c r="FT5020" s="44"/>
    </row>
    <row r="5021" spans="5:176" x14ac:dyDescent="0.2">
      <c r="E5021" s="70"/>
      <c r="FT5021" s="44"/>
    </row>
    <row r="5022" spans="5:176" x14ac:dyDescent="0.2">
      <c r="E5022" s="70"/>
      <c r="FT5022" s="44"/>
    </row>
    <row r="5023" spans="5:176" x14ac:dyDescent="0.2">
      <c r="E5023" s="70"/>
      <c r="FT5023" s="44"/>
    </row>
    <row r="5024" spans="5:176" x14ac:dyDescent="0.2">
      <c r="E5024" s="70"/>
      <c r="FT5024" s="44"/>
    </row>
    <row r="5025" spans="5:176" x14ac:dyDescent="0.2">
      <c r="E5025" s="70"/>
      <c r="FT5025" s="44"/>
    </row>
    <row r="5026" spans="5:176" x14ac:dyDescent="0.2">
      <c r="E5026" s="70"/>
      <c r="FT5026" s="44"/>
    </row>
    <row r="5027" spans="5:176" x14ac:dyDescent="0.2">
      <c r="E5027" s="70"/>
      <c r="FT5027" s="44"/>
    </row>
    <row r="5028" spans="5:176" x14ac:dyDescent="0.2">
      <c r="E5028" s="70"/>
      <c r="FT5028" s="44"/>
    </row>
    <row r="5029" spans="5:176" x14ac:dyDescent="0.2">
      <c r="E5029" s="70"/>
      <c r="FT5029" s="44"/>
    </row>
    <row r="5030" spans="5:176" x14ac:dyDescent="0.2">
      <c r="E5030" s="70"/>
      <c r="FT5030" s="44"/>
    </row>
    <row r="5031" spans="5:176" x14ac:dyDescent="0.2">
      <c r="E5031" s="70"/>
      <c r="FT5031" s="44"/>
    </row>
    <row r="5032" spans="5:176" x14ac:dyDescent="0.2">
      <c r="E5032" s="70"/>
      <c r="FT5032" s="44"/>
    </row>
    <row r="5033" spans="5:176" x14ac:dyDescent="0.2">
      <c r="E5033" s="70"/>
      <c r="FT5033" s="44"/>
    </row>
    <row r="5034" spans="5:176" x14ac:dyDescent="0.2">
      <c r="E5034" s="70"/>
      <c r="FT5034" s="44"/>
    </row>
    <row r="5035" spans="5:176" x14ac:dyDescent="0.2">
      <c r="E5035" s="70"/>
      <c r="FT5035" s="44"/>
    </row>
    <row r="5036" spans="5:176" x14ac:dyDescent="0.2">
      <c r="E5036" s="70"/>
      <c r="FT5036" s="44"/>
    </row>
    <row r="5037" spans="5:176" x14ac:dyDescent="0.2">
      <c r="E5037" s="70"/>
      <c r="FT5037" s="44"/>
    </row>
    <row r="5038" spans="5:176" x14ac:dyDescent="0.2">
      <c r="E5038" s="70"/>
      <c r="FT5038" s="44"/>
    </row>
    <row r="5039" spans="5:176" x14ac:dyDescent="0.2">
      <c r="E5039" s="70"/>
      <c r="FT5039" s="44"/>
    </row>
    <row r="5040" spans="5:176" x14ac:dyDescent="0.2">
      <c r="E5040" s="70"/>
      <c r="FT5040" s="44"/>
    </row>
    <row r="5041" spans="5:176" x14ac:dyDescent="0.2">
      <c r="E5041" s="70"/>
      <c r="FT5041" s="44"/>
    </row>
    <row r="5042" spans="5:176" x14ac:dyDescent="0.2">
      <c r="E5042" s="70"/>
      <c r="FT5042" s="44"/>
    </row>
    <row r="5043" spans="5:176" x14ac:dyDescent="0.2">
      <c r="E5043" s="70"/>
      <c r="FT5043" s="44"/>
    </row>
    <row r="5044" spans="5:176" x14ac:dyDescent="0.2">
      <c r="E5044" s="70"/>
      <c r="FT5044" s="44"/>
    </row>
    <row r="5045" spans="5:176" x14ac:dyDescent="0.2">
      <c r="E5045" s="70"/>
      <c r="FT5045" s="44"/>
    </row>
    <row r="5046" spans="5:176" x14ac:dyDescent="0.2">
      <c r="E5046" s="70"/>
      <c r="FT5046" s="44"/>
    </row>
    <row r="5047" spans="5:176" x14ac:dyDescent="0.2">
      <c r="E5047" s="70"/>
      <c r="FT5047" s="44"/>
    </row>
    <row r="5048" spans="5:176" x14ac:dyDescent="0.2">
      <c r="E5048" s="70"/>
      <c r="FT5048" s="44"/>
    </row>
    <row r="5049" spans="5:176" x14ac:dyDescent="0.2">
      <c r="E5049" s="70"/>
      <c r="FT5049" s="44"/>
    </row>
    <row r="5050" spans="5:176" x14ac:dyDescent="0.2">
      <c r="E5050" s="70"/>
      <c r="FT5050" s="44"/>
    </row>
    <row r="5051" spans="5:176" x14ac:dyDescent="0.2">
      <c r="E5051" s="70"/>
      <c r="FT5051" s="44"/>
    </row>
    <row r="5052" spans="5:176" x14ac:dyDescent="0.2">
      <c r="E5052" s="70"/>
      <c r="FT5052" s="44"/>
    </row>
    <row r="5053" spans="5:176" x14ac:dyDescent="0.2">
      <c r="E5053" s="70"/>
      <c r="FT5053" s="44"/>
    </row>
    <row r="5054" spans="5:176" x14ac:dyDescent="0.2">
      <c r="E5054" s="70"/>
      <c r="FT5054" s="44"/>
    </row>
    <row r="5055" spans="5:176" x14ac:dyDescent="0.2">
      <c r="E5055" s="70"/>
      <c r="FT5055" s="44"/>
    </row>
    <row r="5056" spans="5:176" x14ac:dyDescent="0.2">
      <c r="E5056" s="70"/>
      <c r="FT5056" s="44"/>
    </row>
    <row r="5057" spans="5:176" x14ac:dyDescent="0.2">
      <c r="E5057" s="70"/>
      <c r="FT5057" s="44"/>
    </row>
    <row r="5058" spans="5:176" x14ac:dyDescent="0.2">
      <c r="E5058" s="70"/>
      <c r="FT5058" s="44"/>
    </row>
    <row r="5059" spans="5:176" x14ac:dyDescent="0.2">
      <c r="E5059" s="70"/>
      <c r="FT5059" s="44"/>
    </row>
    <row r="5060" spans="5:176" x14ac:dyDescent="0.2">
      <c r="E5060" s="70"/>
      <c r="FT5060" s="44"/>
    </row>
    <row r="5061" spans="5:176" x14ac:dyDescent="0.2">
      <c r="E5061" s="70"/>
      <c r="FT5061" s="44"/>
    </row>
    <row r="5062" spans="5:176" x14ac:dyDescent="0.2">
      <c r="E5062" s="70"/>
      <c r="FT5062" s="44"/>
    </row>
    <row r="5063" spans="5:176" x14ac:dyDescent="0.2">
      <c r="E5063" s="70"/>
      <c r="FT5063" s="44"/>
    </row>
    <row r="5064" spans="5:176" x14ac:dyDescent="0.2">
      <c r="E5064" s="70"/>
      <c r="FT5064" s="44"/>
    </row>
    <row r="5065" spans="5:176" x14ac:dyDescent="0.2">
      <c r="E5065" s="70"/>
      <c r="FT5065" s="44"/>
    </row>
    <row r="5066" spans="5:176" x14ac:dyDescent="0.2">
      <c r="E5066" s="70"/>
      <c r="FT5066" s="44"/>
    </row>
    <row r="5067" spans="5:176" x14ac:dyDescent="0.2">
      <c r="E5067" s="70"/>
      <c r="FT5067" s="44"/>
    </row>
    <row r="5068" spans="5:176" x14ac:dyDescent="0.2">
      <c r="E5068" s="70"/>
      <c r="FT5068" s="44"/>
    </row>
    <row r="5069" spans="5:176" x14ac:dyDescent="0.2">
      <c r="E5069" s="70"/>
      <c r="FT5069" s="44"/>
    </row>
    <row r="5070" spans="5:176" x14ac:dyDescent="0.2">
      <c r="E5070" s="70"/>
      <c r="FT5070" s="44"/>
    </row>
    <row r="5071" spans="5:176" x14ac:dyDescent="0.2">
      <c r="E5071" s="70"/>
      <c r="FT5071" s="44"/>
    </row>
    <row r="5072" spans="5:176" x14ac:dyDescent="0.2">
      <c r="E5072" s="70"/>
      <c r="FT5072" s="44"/>
    </row>
    <row r="5073" spans="5:176" x14ac:dyDescent="0.2">
      <c r="E5073" s="70"/>
      <c r="FT5073" s="44"/>
    </row>
    <row r="5074" spans="5:176" x14ac:dyDescent="0.2">
      <c r="E5074" s="70"/>
      <c r="FT5074" s="44"/>
    </row>
    <row r="5075" spans="5:176" x14ac:dyDescent="0.2">
      <c r="E5075" s="70"/>
      <c r="FT5075" s="44"/>
    </row>
    <row r="5076" spans="5:176" x14ac:dyDescent="0.2">
      <c r="E5076" s="70"/>
      <c r="FT5076" s="44"/>
    </row>
    <row r="5077" spans="5:176" x14ac:dyDescent="0.2">
      <c r="E5077" s="70"/>
      <c r="FT5077" s="44"/>
    </row>
    <row r="5078" spans="5:176" x14ac:dyDescent="0.2">
      <c r="E5078" s="70"/>
      <c r="FT5078" s="44"/>
    </row>
    <row r="5079" spans="5:176" x14ac:dyDescent="0.2">
      <c r="E5079" s="70"/>
      <c r="FT5079" s="44"/>
    </row>
    <row r="5080" spans="5:176" x14ac:dyDescent="0.2">
      <c r="E5080" s="70"/>
      <c r="FT5080" s="44"/>
    </row>
    <row r="5081" spans="5:176" x14ac:dyDescent="0.2">
      <c r="E5081" s="70"/>
      <c r="FT5081" s="44"/>
    </row>
    <row r="5082" spans="5:176" x14ac:dyDescent="0.2">
      <c r="E5082" s="70"/>
      <c r="FT5082" s="44"/>
    </row>
    <row r="5083" spans="5:176" x14ac:dyDescent="0.2">
      <c r="E5083" s="70"/>
      <c r="FT5083" s="44"/>
    </row>
    <row r="5084" spans="5:176" x14ac:dyDescent="0.2">
      <c r="E5084" s="70"/>
      <c r="FT5084" s="44"/>
    </row>
    <row r="5085" spans="5:176" x14ac:dyDescent="0.2">
      <c r="E5085" s="70"/>
      <c r="FT5085" s="44"/>
    </row>
    <row r="5086" spans="5:176" x14ac:dyDescent="0.2">
      <c r="E5086" s="70"/>
      <c r="FT5086" s="44"/>
    </row>
    <row r="5087" spans="5:176" x14ac:dyDescent="0.2">
      <c r="E5087" s="70"/>
      <c r="FT5087" s="44"/>
    </row>
    <row r="5088" spans="5:176" x14ac:dyDescent="0.2">
      <c r="E5088" s="70"/>
      <c r="FT5088" s="44"/>
    </row>
    <row r="5089" spans="5:176" x14ac:dyDescent="0.2">
      <c r="E5089" s="70"/>
      <c r="FT5089" s="44"/>
    </row>
    <row r="5090" spans="5:176" x14ac:dyDescent="0.2">
      <c r="E5090" s="70"/>
      <c r="FT5090" s="44"/>
    </row>
    <row r="5091" spans="5:176" x14ac:dyDescent="0.2">
      <c r="E5091" s="70"/>
      <c r="FT5091" s="44"/>
    </row>
    <row r="5092" spans="5:176" x14ac:dyDescent="0.2">
      <c r="E5092" s="70"/>
      <c r="FT5092" s="44"/>
    </row>
    <row r="5093" spans="5:176" x14ac:dyDescent="0.2">
      <c r="E5093" s="70"/>
      <c r="FT5093" s="44"/>
    </row>
    <row r="5094" spans="5:176" x14ac:dyDescent="0.2">
      <c r="E5094" s="70"/>
      <c r="FT5094" s="44"/>
    </row>
    <row r="5095" spans="5:176" x14ac:dyDescent="0.2">
      <c r="E5095" s="70"/>
      <c r="FT5095" s="44"/>
    </row>
    <row r="5096" spans="5:176" x14ac:dyDescent="0.2">
      <c r="E5096" s="70"/>
      <c r="FT5096" s="44"/>
    </row>
    <row r="5097" spans="5:176" x14ac:dyDescent="0.2">
      <c r="E5097" s="70"/>
      <c r="FT5097" s="44"/>
    </row>
    <row r="5098" spans="5:176" x14ac:dyDescent="0.2">
      <c r="E5098" s="70"/>
      <c r="FT5098" s="44"/>
    </row>
    <row r="5099" spans="5:176" x14ac:dyDescent="0.2">
      <c r="E5099" s="70"/>
      <c r="FT5099" s="44"/>
    </row>
    <row r="5100" spans="5:176" x14ac:dyDescent="0.2">
      <c r="E5100" s="70"/>
      <c r="FT5100" s="44"/>
    </row>
    <row r="5101" spans="5:176" x14ac:dyDescent="0.2">
      <c r="E5101" s="70"/>
      <c r="FT5101" s="44"/>
    </row>
    <row r="5102" spans="5:176" x14ac:dyDescent="0.2">
      <c r="E5102" s="70"/>
      <c r="FT5102" s="44"/>
    </row>
    <row r="5103" spans="5:176" x14ac:dyDescent="0.2">
      <c r="E5103" s="70"/>
      <c r="FT5103" s="44"/>
    </row>
    <row r="5104" spans="5:176" x14ac:dyDescent="0.2">
      <c r="E5104" s="70"/>
      <c r="FT5104" s="44"/>
    </row>
    <row r="5105" spans="5:176" x14ac:dyDescent="0.2">
      <c r="E5105" s="70"/>
      <c r="FT5105" s="44"/>
    </row>
    <row r="5106" spans="5:176" x14ac:dyDescent="0.2">
      <c r="E5106" s="70"/>
      <c r="FT5106" s="44"/>
    </row>
    <row r="5107" spans="5:176" x14ac:dyDescent="0.2">
      <c r="E5107" s="70"/>
      <c r="FT5107" s="44"/>
    </row>
    <row r="5108" spans="5:176" x14ac:dyDescent="0.2">
      <c r="E5108" s="70"/>
      <c r="FT5108" s="44"/>
    </row>
    <row r="5109" spans="5:176" x14ac:dyDescent="0.2">
      <c r="E5109" s="70"/>
      <c r="FT5109" s="44"/>
    </row>
    <row r="5110" spans="5:176" x14ac:dyDescent="0.2">
      <c r="E5110" s="70"/>
      <c r="FT5110" s="44"/>
    </row>
    <row r="5111" spans="5:176" x14ac:dyDescent="0.2">
      <c r="E5111" s="70"/>
      <c r="FT5111" s="44"/>
    </row>
    <row r="5112" spans="5:176" x14ac:dyDescent="0.2">
      <c r="E5112" s="70"/>
      <c r="FT5112" s="44"/>
    </row>
    <row r="5113" spans="5:176" x14ac:dyDescent="0.2">
      <c r="E5113" s="70"/>
      <c r="FT5113" s="44"/>
    </row>
    <row r="5114" spans="5:176" x14ac:dyDescent="0.2">
      <c r="E5114" s="70"/>
      <c r="FT5114" s="44"/>
    </row>
    <row r="5115" spans="5:176" x14ac:dyDescent="0.2">
      <c r="E5115" s="70"/>
      <c r="FT5115" s="44"/>
    </row>
    <row r="5116" spans="5:176" x14ac:dyDescent="0.2">
      <c r="E5116" s="70"/>
      <c r="FT5116" s="44"/>
    </row>
    <row r="5117" spans="5:176" x14ac:dyDescent="0.2">
      <c r="E5117" s="70"/>
      <c r="FT5117" s="44"/>
    </row>
    <row r="5118" spans="5:176" x14ac:dyDescent="0.2">
      <c r="E5118" s="70"/>
      <c r="FT5118" s="44"/>
    </row>
    <row r="5119" spans="5:176" x14ac:dyDescent="0.2">
      <c r="E5119" s="70"/>
      <c r="FT5119" s="44"/>
    </row>
    <row r="5120" spans="5:176" x14ac:dyDescent="0.2">
      <c r="E5120" s="70"/>
      <c r="FT5120" s="44"/>
    </row>
    <row r="5121" spans="5:176" x14ac:dyDescent="0.2">
      <c r="E5121" s="70"/>
      <c r="FT5121" s="44"/>
    </row>
    <row r="5122" spans="5:176" x14ac:dyDescent="0.2">
      <c r="E5122" s="70"/>
      <c r="FT5122" s="44"/>
    </row>
    <row r="5123" spans="5:176" x14ac:dyDescent="0.2">
      <c r="E5123" s="70"/>
      <c r="FT5123" s="44"/>
    </row>
    <row r="5124" spans="5:176" x14ac:dyDescent="0.2">
      <c r="E5124" s="70"/>
      <c r="FT5124" s="44"/>
    </row>
    <row r="5125" spans="5:176" x14ac:dyDescent="0.2">
      <c r="E5125" s="70"/>
      <c r="FT5125" s="44"/>
    </row>
    <row r="5126" spans="5:176" x14ac:dyDescent="0.2">
      <c r="E5126" s="70"/>
      <c r="FT5126" s="44"/>
    </row>
    <row r="5127" spans="5:176" x14ac:dyDescent="0.2">
      <c r="E5127" s="70"/>
      <c r="FT5127" s="44"/>
    </row>
    <row r="5128" spans="5:176" x14ac:dyDescent="0.2">
      <c r="E5128" s="70"/>
      <c r="FT5128" s="44"/>
    </row>
    <row r="5129" spans="5:176" x14ac:dyDescent="0.2">
      <c r="E5129" s="70"/>
      <c r="FT5129" s="44"/>
    </row>
    <row r="5130" spans="5:176" x14ac:dyDescent="0.2">
      <c r="E5130" s="70"/>
      <c r="FT5130" s="44"/>
    </row>
    <row r="5131" spans="5:176" x14ac:dyDescent="0.2">
      <c r="E5131" s="70"/>
      <c r="FT5131" s="44"/>
    </row>
    <row r="5132" spans="5:176" x14ac:dyDescent="0.2">
      <c r="E5132" s="70"/>
      <c r="FT5132" s="44"/>
    </row>
    <row r="5133" spans="5:176" x14ac:dyDescent="0.2">
      <c r="E5133" s="70"/>
      <c r="FT5133" s="44"/>
    </row>
    <row r="5134" spans="5:176" x14ac:dyDescent="0.2">
      <c r="E5134" s="70"/>
      <c r="FT5134" s="44"/>
    </row>
    <row r="5135" spans="5:176" x14ac:dyDescent="0.2">
      <c r="E5135" s="70"/>
      <c r="FT5135" s="44"/>
    </row>
    <row r="5136" spans="5:176" x14ac:dyDescent="0.2">
      <c r="E5136" s="70"/>
      <c r="FT5136" s="44"/>
    </row>
    <row r="5137" spans="5:176" x14ac:dyDescent="0.2">
      <c r="E5137" s="70"/>
      <c r="FT5137" s="44"/>
    </row>
    <row r="5138" spans="5:176" x14ac:dyDescent="0.2">
      <c r="E5138" s="70"/>
      <c r="FT5138" s="44"/>
    </row>
    <row r="5139" spans="5:176" x14ac:dyDescent="0.2">
      <c r="E5139" s="70"/>
      <c r="FT5139" s="44"/>
    </row>
    <row r="5140" spans="5:176" x14ac:dyDescent="0.2">
      <c r="E5140" s="70"/>
      <c r="FT5140" s="44"/>
    </row>
    <row r="5141" spans="5:176" x14ac:dyDescent="0.2">
      <c r="E5141" s="70"/>
      <c r="FT5141" s="44"/>
    </row>
    <row r="5142" spans="5:176" x14ac:dyDescent="0.2">
      <c r="E5142" s="70"/>
      <c r="FT5142" s="44"/>
    </row>
    <row r="5143" spans="5:176" x14ac:dyDescent="0.2">
      <c r="E5143" s="70"/>
      <c r="FT5143" s="44"/>
    </row>
    <row r="5144" spans="5:176" x14ac:dyDescent="0.2">
      <c r="E5144" s="70"/>
      <c r="FT5144" s="44"/>
    </row>
    <row r="5145" spans="5:176" x14ac:dyDescent="0.2">
      <c r="E5145" s="70"/>
      <c r="FT5145" s="44"/>
    </row>
    <row r="5146" spans="5:176" x14ac:dyDescent="0.2">
      <c r="E5146" s="70"/>
      <c r="FT5146" s="44"/>
    </row>
    <row r="5147" spans="5:176" x14ac:dyDescent="0.2">
      <c r="E5147" s="70"/>
      <c r="FT5147" s="44"/>
    </row>
    <row r="5148" spans="5:176" x14ac:dyDescent="0.2">
      <c r="E5148" s="70"/>
      <c r="FT5148" s="44"/>
    </row>
    <row r="5149" spans="5:176" x14ac:dyDescent="0.2">
      <c r="E5149" s="70"/>
      <c r="FT5149" s="44"/>
    </row>
    <row r="6828" spans="46:121" x14ac:dyDescent="0.2">
      <c r="DQ6828" s="61"/>
    </row>
    <row r="6829" spans="46:121" x14ac:dyDescent="0.2">
      <c r="AT6829" s="61"/>
      <c r="BD6829" s="61"/>
      <c r="BH6829" s="61"/>
      <c r="DQ6829" s="61"/>
    </row>
    <row r="6833" spans="46:121" x14ac:dyDescent="0.2">
      <c r="BV6833" s="61"/>
    </row>
    <row r="6835" spans="46:121" x14ac:dyDescent="0.2">
      <c r="DQ6835" s="61"/>
    </row>
    <row r="6836" spans="46:121" x14ac:dyDescent="0.2">
      <c r="AT6836" s="61"/>
      <c r="BD6836" s="61"/>
      <c r="BH6836" s="61"/>
      <c r="DQ6836" s="61"/>
    </row>
    <row r="6840" spans="46:121" x14ac:dyDescent="0.2">
      <c r="BV6840" s="61"/>
    </row>
    <row r="9110" spans="138:138" x14ac:dyDescent="0.2">
      <c r="EH9110" s="61"/>
    </row>
    <row r="10210" spans="135:135" x14ac:dyDescent="0.2">
      <c r="EE10210" s="61"/>
    </row>
    <row r="10224" spans="135:135" x14ac:dyDescent="0.2">
      <c r="EE10224" s="61"/>
    </row>
    <row r="10230" spans="10:153" x14ac:dyDescent="0.2">
      <c r="J10230" s="61"/>
      <c r="K10230" s="61"/>
      <c r="AC10230" s="61"/>
      <c r="AD10230" s="61"/>
      <c r="AP10230" s="61"/>
      <c r="AV10230" s="61"/>
      <c r="AX10230" s="61"/>
      <c r="AY10230" s="61"/>
      <c r="AZ10230" s="61"/>
      <c r="BO10230" s="61"/>
      <c r="CW10230" s="61"/>
      <c r="CX10230" s="61"/>
      <c r="DB10230" s="61"/>
      <c r="DC10230" s="61"/>
      <c r="DD10230" s="61"/>
      <c r="DE10230" s="61"/>
      <c r="DF10230" s="61"/>
      <c r="DU10230" s="61"/>
      <c r="DV10230" s="61"/>
      <c r="DZ10230" s="61"/>
      <c r="EA10230" s="61"/>
      <c r="EB10230" s="61"/>
      <c r="EC10230" s="61"/>
      <c r="ED10230" s="61"/>
      <c r="EE10230" s="61"/>
      <c r="EF10230" s="61"/>
    </row>
    <row r="10231" spans="10:153" x14ac:dyDescent="0.2">
      <c r="R10231" s="61"/>
      <c r="AB10231" s="61"/>
      <c r="AR10231" s="61"/>
      <c r="AS10231" s="61"/>
      <c r="CQ10231" s="61"/>
      <c r="CV10231" s="61"/>
      <c r="EC10231" s="61"/>
      <c r="ES10231" s="61"/>
    </row>
    <row r="10233" spans="10:153" x14ac:dyDescent="0.2">
      <c r="J10233" s="61"/>
      <c r="K10233" s="61"/>
      <c r="L10233" s="61"/>
      <c r="M10233" s="61"/>
      <c r="N10233" s="61"/>
      <c r="O10233" s="61"/>
      <c r="P10233" s="61"/>
      <c r="AD10233" s="61"/>
      <c r="AH10233" s="61"/>
      <c r="AI10233" s="61"/>
      <c r="AJ10233" s="61"/>
      <c r="AK10233" s="61"/>
      <c r="AL10233" s="61"/>
      <c r="AM10233" s="61"/>
      <c r="AN10233" s="61"/>
      <c r="AO10233" s="61"/>
      <c r="AY10233" s="61"/>
      <c r="BF10233" s="61"/>
      <c r="BG10233" s="61"/>
      <c r="BH10233" s="61"/>
      <c r="BI10233" s="61"/>
      <c r="BJ10233" s="61"/>
      <c r="BK10233" s="61"/>
      <c r="BL10233" s="61"/>
      <c r="BM10233" s="61"/>
      <c r="BV10233" s="61"/>
      <c r="BY10233" s="61"/>
      <c r="BZ10233" s="61"/>
      <c r="CD10233" s="61"/>
      <c r="CE10233" s="61"/>
      <c r="CF10233" s="61"/>
      <c r="CG10233" s="61"/>
      <c r="CH10233" s="61"/>
      <c r="CI10233" s="61"/>
      <c r="CJ10233" s="61"/>
      <c r="CX10233" s="61"/>
      <c r="DB10233" s="61"/>
      <c r="DC10233" s="61"/>
      <c r="DD10233" s="61"/>
      <c r="DE10233" s="61"/>
      <c r="DF10233" s="61"/>
      <c r="DG10233" s="61"/>
      <c r="DH10233" s="61"/>
      <c r="DV10233" s="61"/>
      <c r="DW10233" s="61"/>
      <c r="DX10233" s="61"/>
      <c r="DY10233" s="61"/>
      <c r="EU10233" s="61"/>
      <c r="EV10233" s="61"/>
      <c r="EW10233" s="61"/>
    </row>
    <row r="10235" spans="10:153" x14ac:dyDescent="0.2">
      <c r="J10235" s="61"/>
      <c r="K10235" s="61"/>
      <c r="L10235" s="61"/>
      <c r="AC10235" s="61"/>
      <c r="AD10235" s="61"/>
      <c r="BN10235" s="61"/>
      <c r="BV10235" s="61"/>
      <c r="BW10235" s="61"/>
      <c r="CW10235" s="61"/>
      <c r="DB10235" s="61"/>
      <c r="DC10235" s="61"/>
      <c r="DD10235" s="61"/>
      <c r="DE10235" s="61"/>
      <c r="DM10235" s="61"/>
      <c r="DU10235" s="61"/>
      <c r="DV10235" s="61"/>
      <c r="DZ10235" s="61"/>
      <c r="EA10235" s="61"/>
      <c r="EB10235" s="61"/>
      <c r="EC10235" s="61"/>
      <c r="EE10235" s="61"/>
      <c r="EG10235" s="61"/>
      <c r="ET10235" s="61"/>
      <c r="EU10235" s="61"/>
      <c r="EV10235" s="61"/>
      <c r="EW10235" s="61"/>
    </row>
    <row r="10237" spans="10:153" x14ac:dyDescent="0.2">
      <c r="J10237" s="61"/>
      <c r="K10237" s="61"/>
      <c r="AC10237" s="61"/>
      <c r="AD10237" s="61"/>
      <c r="AP10237" s="61"/>
      <c r="AV10237" s="61"/>
      <c r="AX10237" s="61"/>
      <c r="AY10237" s="61"/>
      <c r="AZ10237" s="61"/>
      <c r="BO10237" s="61"/>
      <c r="CW10237" s="61"/>
      <c r="CX10237" s="61"/>
      <c r="DB10237" s="61"/>
      <c r="DC10237" s="61"/>
      <c r="DD10237" s="61"/>
      <c r="DE10237" s="61"/>
      <c r="DF10237" s="61"/>
      <c r="DU10237" s="61"/>
      <c r="DV10237" s="61"/>
      <c r="DZ10237" s="61"/>
      <c r="EA10237" s="61"/>
      <c r="EB10237" s="61"/>
      <c r="EC10237" s="61"/>
      <c r="ED10237" s="61"/>
      <c r="EE10237" s="61"/>
      <c r="EF10237" s="61"/>
    </row>
    <row r="10238" spans="10:153" x14ac:dyDescent="0.2">
      <c r="R10238" s="61"/>
      <c r="AB10238" s="61"/>
      <c r="AR10238" s="61"/>
      <c r="AS10238" s="61"/>
      <c r="CQ10238" s="61"/>
      <c r="CV10238" s="61"/>
      <c r="EC10238" s="61"/>
      <c r="ES10238" s="61"/>
    </row>
    <row r="10240" spans="10:153" x14ac:dyDescent="0.2">
      <c r="J10240" s="61"/>
      <c r="K10240" s="61"/>
      <c r="L10240" s="61"/>
      <c r="M10240" s="61"/>
      <c r="N10240" s="61"/>
      <c r="O10240" s="61"/>
      <c r="P10240" s="61"/>
      <c r="AD10240" s="61"/>
      <c r="AH10240" s="61"/>
      <c r="AI10240" s="61"/>
      <c r="AJ10240" s="61"/>
      <c r="AK10240" s="61"/>
      <c r="AL10240" s="61"/>
      <c r="AM10240" s="61"/>
      <c r="AN10240" s="61"/>
      <c r="AO10240" s="61"/>
      <c r="AY10240" s="61"/>
      <c r="BF10240" s="61"/>
      <c r="BG10240" s="61"/>
      <c r="BH10240" s="61"/>
      <c r="BI10240" s="61"/>
      <c r="BJ10240" s="61"/>
      <c r="BK10240" s="61"/>
      <c r="BL10240" s="61"/>
      <c r="BM10240" s="61"/>
      <c r="BV10240" s="61"/>
      <c r="BY10240" s="61"/>
      <c r="BZ10240" s="61"/>
      <c r="CD10240" s="61"/>
      <c r="CE10240" s="61"/>
      <c r="CF10240" s="61"/>
      <c r="CG10240" s="61"/>
      <c r="CH10240" s="61"/>
      <c r="CI10240" s="61"/>
      <c r="CJ10240" s="61"/>
      <c r="CX10240" s="61"/>
      <c r="DB10240" s="61"/>
      <c r="DC10240" s="61"/>
      <c r="DD10240" s="61"/>
      <c r="DE10240" s="61"/>
      <c r="DF10240" s="61"/>
      <c r="DG10240" s="61"/>
      <c r="DH10240" s="61"/>
      <c r="DV10240" s="61"/>
      <c r="DW10240" s="61"/>
      <c r="DX10240" s="61"/>
      <c r="DY10240" s="61"/>
      <c r="EU10240" s="61"/>
      <c r="EV10240" s="61"/>
      <c r="EW10240" s="61"/>
    </row>
    <row r="10242" spans="10:153" x14ac:dyDescent="0.2">
      <c r="J10242" s="61"/>
      <c r="K10242" s="61"/>
      <c r="L10242" s="61"/>
      <c r="AC10242" s="61"/>
      <c r="AD10242" s="61"/>
      <c r="BN10242" s="61"/>
      <c r="BV10242" s="61"/>
      <c r="BW10242" s="61"/>
      <c r="CW10242" s="61"/>
      <c r="DB10242" s="61"/>
      <c r="DC10242" s="61"/>
      <c r="DD10242" s="61"/>
      <c r="DE10242" s="61"/>
      <c r="DM10242" s="61"/>
      <c r="DU10242" s="61"/>
      <c r="DV10242" s="61"/>
      <c r="DZ10242" s="61"/>
      <c r="EA10242" s="61"/>
      <c r="EB10242" s="61"/>
      <c r="EC10242" s="61"/>
      <c r="EE10242" s="61"/>
      <c r="EG10242" s="61"/>
      <c r="ET10242" s="61"/>
      <c r="EU10242" s="61"/>
      <c r="EV10242" s="61"/>
      <c r="EW10242" s="6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Table</vt:lpstr>
      <vt:lpstr>Lookups</vt:lpstr>
      <vt:lpstr>Data</vt:lpstr>
      <vt:lpstr>Bid</vt:lpstr>
      <vt:lpstr>Called</vt:lpstr>
      <vt:lpstr>Criteria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Table!Print_Area</vt:lpstr>
      <vt:lpstr>Result_type</vt:lpstr>
      <vt:lpstr>Result_type_list</vt:lpstr>
      <vt:lpstr>Size</vt:lpstr>
      <vt:lpstr>Size_list</vt:lpstr>
      <vt:lpstr>Data!table_for_PGE_CBP_expost_private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2015-03-26T16:32:38Z</dcterms:modified>
</cp:coreProperties>
</file>