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workbookProtection workbookAlgorithmName="SHA-512" workbookHashValue="JXvCn57R21Fx/KvC42dWFeSm49or+yqHuaAh4YrDLhzgWMba7wscPzCHiY1t7bM3LTpcrUhkj6RPYm33fcpg0g==" workbookSaltValue="sNbaPeBXhvAblaPCaWFXRg==" workbookSpinCount="100000" lockStructure="1"/>
  <bookViews>
    <workbookView xWindow="0" yWindow="0" windowWidth="28800" windowHeight="12135" tabRatio="881"/>
  </bookViews>
  <sheets>
    <sheet name="Summary View" sheetId="33" r:id="rId1"/>
    <sheet name="Intermediate Data" sheetId="35" state="hidden" r:id="rId2"/>
    <sheet name="Measure Quantitative Data" sheetId="21" r:id="rId3"/>
    <sheet name="Measure Qualitative Data" sheetId="37" r:id="rId4"/>
    <sheet name="Codes and Specs Data" sheetId="36" r:id="rId5"/>
    <sheet name="Source Info" sheetId="38" r:id="rId6"/>
    <sheet name="Availability and Costs" sheetId="32" state="hidden" r:id="rId7"/>
  </sheets>
  <definedNames>
    <definedName name="_xlnm._FilterDatabase" localSheetId="6" hidden="1">'Availability and Costs'!$A$1:$L$341</definedName>
    <definedName name="_xlnm._FilterDatabase" localSheetId="2" hidden="1">'Measure Quantitative Data'!$A$6:$AV$11</definedName>
    <definedName name="CSA" localSheetId="3">#REF!</definedName>
    <definedName name="CSA">#REF!</definedName>
    <definedName name="CSB" localSheetId="3">#REF!</definedName>
    <definedName name="CSB">#REF!</definedName>
    <definedName name="CSC" localSheetId="3">#REF!</definedName>
    <definedName name="CSC">#REF!</definedName>
    <definedName name="CSChoose" localSheetId="4">CHOOSE(#REF!,CSA,CSB,CSC,CSD)</definedName>
    <definedName name="CSChoose" localSheetId="3">CHOOSE(#REF!,'Measure Qualitative Data'!CSA,'Measure Qualitative Data'!CSB,'Measure Qualitative Data'!CSC,'Measure Qualitative Data'!CSD)</definedName>
    <definedName name="CSChoose" localSheetId="5">CHOOSE(#REF!,CSA,CSB,CSC,CSD)</definedName>
    <definedName name="CSChoose">CHOOSE(#REF!,CSA,CSB,CSC,CSD)</definedName>
    <definedName name="CSD" localSheetId="3">#REF!</definedName>
    <definedName name="CSD">#REF!</definedName>
  </definedNames>
  <calcPr calcId="152511"/>
</workbook>
</file>

<file path=xl/calcChain.xml><?xml version="1.0" encoding="utf-8"?>
<calcChain xmlns="http://schemas.openxmlformats.org/spreadsheetml/2006/main">
  <c r="AH7" i="21" l="1"/>
  <c r="AI7" i="21"/>
  <c r="AJ7" i="21"/>
  <c r="AK7" i="21"/>
  <c r="AL7" i="21"/>
  <c r="AM7" i="21"/>
  <c r="AN7" i="21"/>
  <c r="AO7" i="21"/>
  <c r="AP7" i="21"/>
  <c r="AQ7" i="21"/>
  <c r="AI21" i="33" l="1"/>
  <c r="E36" i="33"/>
  <c r="I36" i="33"/>
  <c r="C12" i="33"/>
  <c r="C11" i="33"/>
  <c r="AE20" i="33" l="1"/>
  <c r="AE19" i="33"/>
  <c r="AE11" i="33"/>
  <c r="AE10" i="33"/>
  <c r="Q4" i="35" l="1"/>
  <c r="Q5" i="35"/>
  <c r="Q6" i="35"/>
  <c r="N6" i="35"/>
  <c r="N4" i="35"/>
  <c r="N5" i="35"/>
  <c r="B4" i="37"/>
  <c r="C4" i="37"/>
  <c r="D4" i="37"/>
  <c r="E4" i="37"/>
  <c r="F4" i="37"/>
  <c r="G4" i="37"/>
  <c r="H4" i="37"/>
  <c r="I4" i="37"/>
  <c r="J4" i="37"/>
  <c r="K4" i="37"/>
  <c r="L4" i="37"/>
  <c r="T7" i="35"/>
  <c r="AE21" i="33"/>
  <c r="Q7" i="35" l="1"/>
  <c r="AG7" i="21"/>
  <c r="N7" i="35" s="1"/>
  <c r="V21" i="33"/>
  <c r="AB21" i="33"/>
  <c r="B30" i="33" l="1"/>
  <c r="B29" i="33"/>
  <c r="B27" i="33"/>
  <c r="B26" i="33"/>
  <c r="B25" i="33"/>
  <c r="AB5" i="33" l="1"/>
  <c r="P4" i="35" l="1"/>
  <c r="Y4" i="33" s="1"/>
  <c r="P5" i="35"/>
  <c r="Y5" i="33" s="1"/>
  <c r="P6" i="35"/>
  <c r="L4" i="35"/>
  <c r="L6" i="35"/>
  <c r="L5" i="35"/>
  <c r="AQ16" i="21"/>
  <c r="AQ17" i="21"/>
  <c r="AQ15" i="21"/>
  <c r="P7" i="35"/>
  <c r="AR7" i="21"/>
  <c r="AS7" i="21"/>
  <c r="AQ10" i="21"/>
  <c r="AQ11" i="21"/>
  <c r="AQ9" i="21"/>
  <c r="AQ19" i="21"/>
  <c r="AS11" i="21" l="1"/>
  <c r="I27" i="33"/>
  <c r="AF18" i="21"/>
  <c r="AF8" i="21"/>
  <c r="Y21" i="33"/>
  <c r="R6" i="35" l="1"/>
  <c r="R5" i="35"/>
  <c r="V5" i="33" s="1"/>
  <c r="R4" i="35"/>
  <c r="V4" i="33" s="1"/>
  <c r="R7" i="35"/>
  <c r="M6" i="35" l="1"/>
  <c r="M5" i="35"/>
  <c r="S5" i="33" s="1"/>
  <c r="M4" i="35"/>
  <c r="S4" i="33" s="1"/>
  <c r="O7" i="35" l="1"/>
  <c r="S7" i="35"/>
  <c r="AU7" i="21"/>
  <c r="AV7" i="21"/>
  <c r="S6" i="35"/>
  <c r="S5" i="35"/>
  <c r="S4" i="35"/>
  <c r="O6" i="35"/>
  <c r="O5" i="35"/>
  <c r="O4" i="35"/>
  <c r="H6" i="35" l="1"/>
  <c r="H4" i="35"/>
  <c r="H5" i="35"/>
  <c r="AF7" i="21" l="1"/>
  <c r="M7" i="35" s="1"/>
  <c r="AT7" i="21"/>
  <c r="AF10" i="21"/>
  <c r="AM10" i="21" s="1"/>
  <c r="C14" i="33"/>
  <c r="C15" i="33"/>
  <c r="C9" i="33"/>
  <c r="C19" i="33"/>
  <c r="C13" i="33"/>
  <c r="C20" i="33"/>
  <c r="C10" i="33"/>
  <c r="C16" i="33"/>
  <c r="C18" i="33"/>
  <c r="C17" i="33"/>
  <c r="S21" i="33"/>
  <c r="AD7" i="21" l="1"/>
  <c r="Y7" i="21"/>
  <c r="H7" i="35" s="1"/>
  <c r="A9" i="37" l="1"/>
  <c r="A10" i="37"/>
  <c r="A11" i="37"/>
  <c r="A15" i="37"/>
  <c r="A6" i="37"/>
  <c r="A12" i="37"/>
  <c r="A13" i="37"/>
  <c r="A14" i="37"/>
  <c r="A16" i="37"/>
  <c r="A8" i="37"/>
  <c r="A7" i="37"/>
  <c r="A5" i="37"/>
  <c r="T6" i="35" l="1"/>
  <c r="T4" i="35"/>
  <c r="AB4" i="33" s="1"/>
  <c r="A4" i="37"/>
  <c r="N31" i="33"/>
  <c r="I35" i="33" l="1"/>
  <c r="I34" i="33"/>
  <c r="I31" i="33"/>
  <c r="I30" i="33"/>
  <c r="I26" i="33"/>
  <c r="I25" i="33"/>
  <c r="E26" i="33"/>
  <c r="E30" i="33"/>
  <c r="E31" i="33"/>
  <c r="E33" i="33"/>
  <c r="E27" i="33"/>
  <c r="E29" i="33"/>
  <c r="E34" i="33"/>
  <c r="E35" i="33"/>
  <c r="E25" i="33"/>
  <c r="E4" i="35"/>
  <c r="F4" i="35"/>
  <c r="I4" i="35"/>
  <c r="E5" i="35"/>
  <c r="F5" i="35"/>
  <c r="E6" i="35"/>
  <c r="F6" i="35"/>
  <c r="I6" i="35"/>
  <c r="V7" i="21"/>
  <c r="D7" i="35" s="1"/>
  <c r="W7" i="21"/>
  <c r="E7" i="35" s="1"/>
  <c r="X7" i="21"/>
  <c r="F7" i="35" s="1"/>
  <c r="Z7" i="21"/>
  <c r="I7" i="35" s="1"/>
  <c r="AA7" i="21"/>
  <c r="AB7" i="21"/>
  <c r="D6" i="35"/>
  <c r="D5" i="35"/>
  <c r="D4" i="35"/>
  <c r="B9" i="35"/>
  <c r="B10" i="35"/>
  <c r="B11" i="35"/>
  <c r="B12" i="35"/>
  <c r="B13" i="35"/>
  <c r="B14" i="35"/>
  <c r="B15" i="35"/>
  <c r="B16" i="35"/>
  <c r="B17" i="35"/>
  <c r="B18" i="35"/>
  <c r="B19" i="35"/>
  <c r="B8" i="35"/>
  <c r="P8" i="35" l="1"/>
  <c r="Y9" i="33" s="1"/>
  <c r="N8" i="35"/>
  <c r="V9" i="33" s="1"/>
  <c r="Q8" i="35"/>
  <c r="AB9" i="33" s="1"/>
  <c r="P16" i="35"/>
  <c r="Y17" i="33" s="1"/>
  <c r="Q16" i="35"/>
  <c r="N16" i="35"/>
  <c r="P12" i="35"/>
  <c r="Y13" i="33" s="1"/>
  <c r="N12" i="35"/>
  <c r="Q12" i="35"/>
  <c r="P19" i="35"/>
  <c r="Y20" i="33" s="1"/>
  <c r="Q19" i="35"/>
  <c r="AB20" i="33" s="1"/>
  <c r="N19" i="35"/>
  <c r="V20" i="33" s="1"/>
  <c r="P15" i="35"/>
  <c r="Y16" i="33" s="1"/>
  <c r="Q15" i="35"/>
  <c r="N15" i="35"/>
  <c r="P11" i="35"/>
  <c r="Y12" i="33" s="1"/>
  <c r="N11" i="35"/>
  <c r="V12" i="33" s="1"/>
  <c r="Q11" i="35"/>
  <c r="AB12" i="33" s="1"/>
  <c r="P18" i="35"/>
  <c r="Y19" i="33" s="1"/>
  <c r="N18" i="35"/>
  <c r="Q18" i="35"/>
  <c r="P14" i="35"/>
  <c r="Y15" i="33" s="1"/>
  <c r="Q14" i="35"/>
  <c r="N14" i="35"/>
  <c r="Q10" i="35"/>
  <c r="N10" i="35"/>
  <c r="P17" i="35"/>
  <c r="Y18" i="33" s="1"/>
  <c r="N17" i="35"/>
  <c r="Q17" i="35"/>
  <c r="P13" i="35"/>
  <c r="Y14" i="33" s="1"/>
  <c r="N13" i="35"/>
  <c r="Q13" i="35"/>
  <c r="P9" i="35"/>
  <c r="Y10" i="33" s="1"/>
  <c r="Q9" i="35"/>
  <c r="AB10" i="33" s="1"/>
  <c r="N9" i="35"/>
  <c r="V10" i="33" s="1"/>
  <c r="M10" i="35"/>
  <c r="P10" i="35"/>
  <c r="Y11" i="33" s="1"/>
  <c r="M19" i="35"/>
  <c r="S20" i="33" s="1"/>
  <c r="M15" i="35"/>
  <c r="S16" i="33" s="1"/>
  <c r="M11" i="35"/>
  <c r="S12" i="33" s="1"/>
  <c r="M18" i="35"/>
  <c r="S19" i="33" s="1"/>
  <c r="M14" i="35"/>
  <c r="S15" i="33" s="1"/>
  <c r="M17" i="35"/>
  <c r="S18" i="33" s="1"/>
  <c r="M13" i="35"/>
  <c r="S14" i="33" s="1"/>
  <c r="M9" i="35"/>
  <c r="S10" i="33" s="1"/>
  <c r="M8" i="35"/>
  <c r="S9" i="33" s="1"/>
  <c r="M16" i="35"/>
  <c r="S17" i="33" s="1"/>
  <c r="M12" i="35"/>
  <c r="S13" i="33" s="1"/>
  <c r="S18" i="35"/>
  <c r="O18" i="35"/>
  <c r="O14" i="35"/>
  <c r="S14" i="35"/>
  <c r="O10" i="35"/>
  <c r="S10" i="35"/>
  <c r="S17" i="35"/>
  <c r="O17" i="35"/>
  <c r="S13" i="35"/>
  <c r="O13" i="35"/>
  <c r="O9" i="35"/>
  <c r="S9" i="35"/>
  <c r="O8" i="35"/>
  <c r="S8" i="35"/>
  <c r="O16" i="35"/>
  <c r="S16" i="35"/>
  <c r="S12" i="35"/>
  <c r="O12" i="35"/>
  <c r="S19" i="35"/>
  <c r="O19" i="35"/>
  <c r="S15" i="35"/>
  <c r="O15" i="35"/>
  <c r="S11" i="35"/>
  <c r="O11" i="35"/>
  <c r="C19" i="35"/>
  <c r="H19" i="35"/>
  <c r="C15" i="35"/>
  <c r="H15" i="35"/>
  <c r="C11" i="35"/>
  <c r="H11" i="35"/>
  <c r="C18" i="35"/>
  <c r="H18" i="35"/>
  <c r="C14" i="35"/>
  <c r="H14" i="35"/>
  <c r="C10" i="35"/>
  <c r="H10" i="35"/>
  <c r="C17" i="35"/>
  <c r="H17" i="35"/>
  <c r="C13" i="35"/>
  <c r="H13" i="35"/>
  <c r="C9" i="35"/>
  <c r="H9" i="35"/>
  <c r="C8" i="35"/>
  <c r="H8" i="35"/>
  <c r="C16" i="35"/>
  <c r="H16" i="35"/>
  <c r="C12" i="35"/>
  <c r="H12" i="35"/>
  <c r="I9" i="35"/>
  <c r="E10" i="35"/>
  <c r="I8" i="35"/>
  <c r="F9" i="35"/>
  <c r="E15" i="35"/>
  <c r="F12" i="35"/>
  <c r="E11" i="35"/>
  <c r="E19" i="35"/>
  <c r="F18" i="35"/>
  <c r="F15" i="35"/>
  <c r="F8" i="35"/>
  <c r="F19" i="35"/>
  <c r="F16" i="35"/>
  <c r="I10" i="35"/>
  <c r="I19" i="35"/>
  <c r="F17" i="35"/>
  <c r="F13" i="35"/>
  <c r="F10" i="35"/>
  <c r="I14" i="35"/>
  <c r="I11" i="35"/>
  <c r="I18" i="35"/>
  <c r="I15" i="35"/>
  <c r="F14" i="35"/>
  <c r="F11" i="35"/>
  <c r="I17" i="35"/>
  <c r="I13" i="35"/>
  <c r="E16" i="35"/>
  <c r="E12" i="35"/>
  <c r="E8" i="35"/>
  <c r="E17" i="35"/>
  <c r="E13" i="35"/>
  <c r="E9" i="35"/>
  <c r="E18" i="35"/>
  <c r="I16" i="35"/>
  <c r="E14" i="35"/>
  <c r="I12" i="35"/>
  <c r="J21" i="33"/>
  <c r="AB19" i="33" l="1"/>
  <c r="AB18" i="33"/>
  <c r="AB17" i="33"/>
  <c r="AB16" i="33"/>
  <c r="AB15" i="33"/>
  <c r="AB14" i="33"/>
  <c r="AB13" i="33"/>
  <c r="AB11" i="33"/>
  <c r="V19" i="33"/>
  <c r="V18" i="33"/>
  <c r="V17" i="33"/>
  <c r="V16" i="33"/>
  <c r="V15" i="33"/>
  <c r="V14" i="33"/>
  <c r="V13" i="33"/>
  <c r="V11" i="33"/>
  <c r="S11" i="33"/>
  <c r="AE5" i="33"/>
  <c r="AE4" i="33"/>
  <c r="AE6" i="33"/>
  <c r="P6" i="33"/>
  <c r="M6" i="33"/>
  <c r="J7" i="33"/>
  <c r="G18" i="21"/>
  <c r="K6" i="35"/>
  <c r="K5" i="35"/>
  <c r="P5" i="33" s="1"/>
  <c r="K4" i="35"/>
  <c r="P4" i="33" s="1"/>
  <c r="J6" i="35"/>
  <c r="J5" i="35"/>
  <c r="M5" i="33" s="1"/>
  <c r="J4" i="35"/>
  <c r="M4" i="33" s="1"/>
  <c r="G8" i="21"/>
  <c r="B7" i="21"/>
  <c r="C7" i="21"/>
  <c r="D7" i="21"/>
  <c r="E7" i="21"/>
  <c r="F7" i="21"/>
  <c r="G7" i="21"/>
  <c r="J7" i="35" s="1"/>
  <c r="H7" i="21"/>
  <c r="I7" i="21"/>
  <c r="J7" i="21"/>
  <c r="K7" i="21"/>
  <c r="L7" i="21"/>
  <c r="M7" i="21"/>
  <c r="N7" i="21"/>
  <c r="O7" i="21"/>
  <c r="P7" i="21"/>
  <c r="Q7" i="21"/>
  <c r="K7" i="35" s="1"/>
  <c r="R7" i="21"/>
  <c r="S7" i="21"/>
  <c r="T7" i="21"/>
  <c r="U7" i="21"/>
  <c r="AC7" i="21"/>
  <c r="AE7" i="21"/>
  <c r="L7" i="35"/>
  <c r="A7" i="21"/>
  <c r="J4" i="33"/>
  <c r="P21" i="33"/>
  <c r="M21" i="33"/>
  <c r="R8" i="35" l="1"/>
  <c r="R11" i="35"/>
  <c r="R15" i="35"/>
  <c r="R16" i="35"/>
  <c r="R17" i="35"/>
  <c r="R10" i="35"/>
  <c r="R18" i="35"/>
  <c r="L8" i="35"/>
  <c r="L11" i="35"/>
  <c r="L15" i="35"/>
  <c r="L19" i="35"/>
  <c r="L12" i="35"/>
  <c r="L16" i="35"/>
  <c r="L13" i="35"/>
  <c r="L17" i="35"/>
  <c r="L10" i="35"/>
  <c r="L14" i="35"/>
  <c r="L18" i="35"/>
  <c r="K17" i="35"/>
  <c r="P18" i="33" s="1"/>
  <c r="K15" i="35"/>
  <c r="P16" i="33" s="1"/>
  <c r="K16" i="35"/>
  <c r="P17" i="33" s="1"/>
  <c r="J8" i="35"/>
  <c r="M9" i="33" s="1"/>
  <c r="J11" i="35"/>
  <c r="M12" i="33" s="1"/>
  <c r="J15" i="35"/>
  <c r="M16" i="33" s="1"/>
  <c r="J19" i="35"/>
  <c r="M20" i="33" s="1"/>
  <c r="J16" i="35"/>
  <c r="M17" i="33" s="1"/>
  <c r="J9" i="35"/>
  <c r="M10" i="33" s="1"/>
  <c r="J17" i="35"/>
  <c r="M18" i="33" s="1"/>
  <c r="J10" i="35"/>
  <c r="M11" i="33" s="1"/>
  <c r="J18" i="35"/>
  <c r="M19" i="33" s="1"/>
  <c r="D8" i="35"/>
  <c r="J9" i="33" s="1"/>
  <c r="D11" i="35"/>
  <c r="J12" i="33" s="1"/>
  <c r="D15" i="35"/>
  <c r="D19" i="35"/>
  <c r="D12" i="35"/>
  <c r="D16" i="35"/>
  <c r="D9" i="35"/>
  <c r="D13" i="35"/>
  <c r="D17" i="35"/>
  <c r="D10" i="35"/>
  <c r="D14" i="35"/>
  <c r="D18" i="35"/>
  <c r="J19" i="33" s="1"/>
  <c r="J11" i="33" l="1"/>
  <c r="R19" i="35"/>
  <c r="R13" i="35"/>
  <c r="R14" i="35"/>
  <c r="R12" i="35"/>
  <c r="R9" i="35" l="1"/>
  <c r="L9" i="35"/>
  <c r="D23" i="32"/>
  <c r="M18" i="21" l="1"/>
  <c r="N18" i="21"/>
  <c r="L18" i="21"/>
  <c r="M8" i="21"/>
  <c r="N8" i="21"/>
  <c r="L8" i="21"/>
  <c r="M12" i="21"/>
  <c r="N12" i="21"/>
  <c r="M13" i="21"/>
  <c r="N13" i="21"/>
  <c r="M14" i="21"/>
  <c r="N14" i="21"/>
  <c r="M9" i="21"/>
  <c r="N9" i="21"/>
  <c r="M19" i="21"/>
  <c r="N19" i="21"/>
  <c r="L19" i="21"/>
  <c r="L9" i="21"/>
  <c r="L13" i="21"/>
  <c r="L14" i="21"/>
  <c r="L12" i="21"/>
  <c r="O8" i="21" l="1"/>
  <c r="O18" i="21"/>
  <c r="O12" i="21"/>
  <c r="O9" i="21"/>
  <c r="O14" i="21"/>
  <c r="O13" i="21"/>
  <c r="O19" i="21"/>
  <c r="G14" i="21"/>
  <c r="J14" i="35" s="1"/>
  <c r="M15" i="33" s="1"/>
  <c r="O11" i="21" l="1"/>
  <c r="O10" i="21"/>
  <c r="G12" i="21"/>
  <c r="J12" i="35" s="1"/>
  <c r="M13" i="33" s="1"/>
  <c r="G13" i="21"/>
  <c r="J13" i="35" s="1"/>
  <c r="M14" i="33" s="1"/>
  <c r="D266" i="32" l="1"/>
  <c r="D265" i="32"/>
  <c r="D264" i="32"/>
  <c r="D263" i="32"/>
  <c r="D262" i="32"/>
  <c r="D261" i="32"/>
  <c r="D260" i="32"/>
  <c r="D259" i="32"/>
  <c r="D258" i="32"/>
  <c r="D257" i="32"/>
  <c r="D256" i="32"/>
  <c r="D255" i="32"/>
  <c r="D254" i="32"/>
  <c r="D253" i="32"/>
  <c r="D252" i="32"/>
  <c r="D251" i="32"/>
  <c r="D250" i="32"/>
  <c r="D249" i="32"/>
  <c r="D248" i="32"/>
  <c r="D247" i="32"/>
  <c r="D246" i="32"/>
  <c r="D245" i="32"/>
  <c r="D244" i="32"/>
  <c r="D243" i="32"/>
  <c r="D209" i="32"/>
  <c r="D242" i="32"/>
  <c r="D241" i="32"/>
  <c r="D240" i="32"/>
  <c r="D239" i="32"/>
  <c r="D238" i="32"/>
  <c r="D237" i="32"/>
  <c r="D236" i="32"/>
  <c r="D235" i="32"/>
  <c r="D234" i="32"/>
  <c r="D229" i="32"/>
  <c r="D230" i="32"/>
  <c r="D231" i="32"/>
  <c r="D232" i="32"/>
  <c r="D233" i="32"/>
  <c r="D228" i="32" l="1"/>
  <c r="D227" i="32"/>
  <c r="D226" i="32"/>
  <c r="D225" i="32"/>
  <c r="D224" i="32"/>
  <c r="D223" i="32"/>
  <c r="D222" i="32"/>
  <c r="D221" i="32"/>
  <c r="D220" i="32"/>
  <c r="D219" i="32"/>
  <c r="D218" i="32"/>
  <c r="D217" i="32"/>
  <c r="D216" i="32"/>
  <c r="D215" i="32"/>
  <c r="D214" i="32"/>
  <c r="D213" i="32"/>
  <c r="D212" i="32"/>
  <c r="D211" i="32"/>
  <c r="D210" i="32"/>
  <c r="D208" i="32"/>
  <c r="D207" i="32"/>
  <c r="D206" i="32"/>
  <c r="D205" i="32"/>
  <c r="D204" i="32"/>
  <c r="D203" i="32"/>
  <c r="D202" i="32"/>
  <c r="D201" i="32"/>
  <c r="D200" i="32"/>
  <c r="D199" i="32"/>
  <c r="D198" i="32"/>
  <c r="D197" i="32"/>
  <c r="D196" i="32"/>
  <c r="D195" i="32"/>
  <c r="D194" i="32"/>
  <c r="D193" i="32"/>
  <c r="D192" i="32"/>
  <c r="D191" i="32"/>
  <c r="D190" i="32"/>
  <c r="D189" i="32"/>
  <c r="D188" i="32"/>
  <c r="D187" i="32"/>
  <c r="D186" i="32"/>
  <c r="D185" i="32"/>
  <c r="D184" i="32"/>
  <c r="D183" i="32"/>
  <c r="D182" i="32"/>
  <c r="D181" i="32"/>
  <c r="D180" i="32"/>
  <c r="D179" i="32"/>
  <c r="D178" i="32"/>
  <c r="D177" i="32"/>
  <c r="D176" i="32"/>
  <c r="D175" i="32"/>
  <c r="D174" i="32"/>
  <c r="D173" i="32"/>
  <c r="D172" i="32"/>
  <c r="D171" i="32"/>
  <c r="D170" i="32"/>
  <c r="D169" i="32"/>
  <c r="D168" i="32"/>
  <c r="D167" i="32"/>
  <c r="D166" i="32"/>
  <c r="D165" i="32"/>
  <c r="D164" i="32"/>
  <c r="D163" i="32"/>
  <c r="D162" i="32"/>
  <c r="D161" i="32"/>
  <c r="D160" i="32"/>
  <c r="D159" i="32"/>
  <c r="D158" i="32"/>
  <c r="D157" i="32"/>
  <c r="D156" i="32"/>
  <c r="D155" i="32"/>
  <c r="D154" i="32"/>
  <c r="D153" i="32"/>
  <c r="D152" i="32"/>
  <c r="D151" i="32"/>
  <c r="D150" i="32"/>
  <c r="D149" i="32"/>
  <c r="D148" i="32"/>
  <c r="D147" i="32"/>
  <c r="D146" i="32"/>
  <c r="D145" i="32"/>
  <c r="D144" i="32"/>
  <c r="D143" i="32"/>
  <c r="D142" i="32"/>
  <c r="D141" i="32"/>
  <c r="D140" i="32"/>
  <c r="D139" i="32"/>
  <c r="D138" i="32"/>
  <c r="D137" i="32"/>
  <c r="D136" i="32"/>
  <c r="D135" i="32"/>
  <c r="D134" i="32"/>
  <c r="D133" i="32"/>
  <c r="D132" i="32"/>
  <c r="D131" i="32"/>
  <c r="D130" i="32"/>
  <c r="D3" i="32"/>
  <c r="D4" i="32"/>
  <c r="D5" i="32"/>
  <c r="D6" i="32"/>
  <c r="D7" i="32"/>
  <c r="D8" i="32"/>
  <c r="D9" i="32"/>
  <c r="D10" i="32"/>
  <c r="D11" i="32"/>
  <c r="D12" i="32"/>
  <c r="D13" i="32"/>
  <c r="D14" i="32"/>
  <c r="D15" i="32"/>
  <c r="D16" i="32"/>
  <c r="D17" i="32"/>
  <c r="D18" i="32"/>
  <c r="D19" i="32"/>
  <c r="D20" i="32"/>
  <c r="D21" i="32"/>
  <c r="D22"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113" i="32"/>
  <c r="D114" i="32"/>
  <c r="D115" i="32"/>
  <c r="D116" i="32"/>
  <c r="D117" i="32"/>
  <c r="D118" i="32"/>
  <c r="D119" i="32"/>
  <c r="D120" i="32"/>
  <c r="D121" i="32"/>
  <c r="D122" i="32"/>
  <c r="D123" i="32"/>
  <c r="D124" i="32"/>
  <c r="D125" i="32"/>
  <c r="D126" i="32"/>
  <c r="D127" i="32"/>
  <c r="D128" i="32"/>
  <c r="D129" i="32"/>
  <c r="D2" i="32"/>
  <c r="Q10" i="21"/>
  <c r="K11" i="35" l="1"/>
  <c r="P12" i="33" s="1"/>
  <c r="K10" i="35"/>
  <c r="P11" i="33" s="1"/>
  <c r="Q8" i="21"/>
  <c r="Q18" i="21"/>
  <c r="K18" i="35" s="1"/>
  <c r="P19" i="33" s="1"/>
  <c r="Q12" i="21"/>
  <c r="K12" i="35" s="1"/>
  <c r="P13" i="33" s="1"/>
  <c r="Q13" i="21"/>
  <c r="K13" i="35" s="1"/>
  <c r="P14" i="33" s="1"/>
  <c r="Q14" i="21"/>
  <c r="K14" i="35" s="1"/>
  <c r="P15" i="33" s="1"/>
  <c r="Q9" i="21"/>
  <c r="K9" i="35" s="1"/>
  <c r="P10" i="33" s="1"/>
  <c r="Q19" i="21"/>
  <c r="K19" i="35" s="1"/>
  <c r="P20" i="33" s="1"/>
  <c r="K8" i="35" l="1"/>
  <c r="P9" i="33" s="1"/>
</calcChain>
</file>

<file path=xl/comments1.xml><?xml version="1.0" encoding="utf-8"?>
<comments xmlns="http://schemas.openxmlformats.org/spreadsheetml/2006/main">
  <authors>
    <author>Author</author>
  </authors>
  <commentList>
    <comment ref="AB2" authorId="0" shapeId="0">
      <text>
        <r>
          <rPr>
            <sz val="9"/>
            <color indexed="81"/>
            <rFont val="Tahoma"/>
            <family val="2"/>
          </rPr>
          <t>Cell controls appearance of "not applicable" values. Type space (" ") for blank cells.</t>
        </r>
      </text>
    </comment>
  </commentList>
</comments>
</file>

<file path=xl/sharedStrings.xml><?xml version="1.0" encoding="utf-8"?>
<sst xmlns="http://schemas.openxmlformats.org/spreadsheetml/2006/main" count="2284" uniqueCount="905">
  <si>
    <t>Measure</t>
  </si>
  <si>
    <t>Code</t>
  </si>
  <si>
    <t>Lifecycle</t>
  </si>
  <si>
    <t>Gas</t>
  </si>
  <si>
    <t>Electric</t>
  </si>
  <si>
    <t>Fuel</t>
  </si>
  <si>
    <t>Specification</t>
  </si>
  <si>
    <t>Unknown</t>
  </si>
  <si>
    <t>N/A</t>
  </si>
  <si>
    <t>Source ID</t>
  </si>
  <si>
    <t>Organization</t>
  </si>
  <si>
    <t>Date Published</t>
  </si>
  <si>
    <t>Title</t>
  </si>
  <si>
    <t>Web Address</t>
  </si>
  <si>
    <t>Year</t>
  </si>
  <si>
    <t>National</t>
  </si>
  <si>
    <t>Territory</t>
  </si>
  <si>
    <t>Note</t>
  </si>
  <si>
    <t>Meas #</t>
  </si>
  <si>
    <t>Sources Consulted</t>
  </si>
  <si>
    <t>MISSING DATA</t>
  </si>
  <si>
    <t>Measure data not in source</t>
  </si>
  <si>
    <t>Not applicable for measure</t>
  </si>
  <si>
    <t>Interpretation</t>
  </si>
  <si>
    <t>[Blank]</t>
  </si>
  <si>
    <t>No source available</t>
  </si>
  <si>
    <t>Wholesale Availability</t>
  </si>
  <si>
    <t>ENERGY STAR Shipments</t>
  </si>
  <si>
    <t>Measure Name</t>
  </si>
  <si>
    <t>Measure Location</t>
  </si>
  <si>
    <t>Column</t>
  </si>
  <si>
    <t>Measure Overview</t>
  </si>
  <si>
    <t>Source #</t>
  </si>
  <si>
    <t>Sizes</t>
  </si>
  <si>
    <t>Unit cost</t>
  </si>
  <si>
    <t># of brands</t>
  </si>
  <si>
    <t>Retail Online Availability</t>
  </si>
  <si>
    <t>Retail In-store Availability</t>
  </si>
  <si>
    <t>Availability</t>
  </si>
  <si>
    <t>Availability Notes</t>
  </si>
  <si>
    <t>Cost</t>
  </si>
  <si>
    <t>Cost Notes</t>
  </si>
  <si>
    <t>Average cost of measure</t>
  </si>
  <si>
    <t>Only for Pool pumps</t>
  </si>
  <si>
    <t>Penetration of sizes</t>
  </si>
  <si>
    <t>Measure Information</t>
  </si>
  <si>
    <t>Spec</t>
  </si>
  <si>
    <t>Requirement</t>
  </si>
  <si>
    <t>Effective Date</t>
  </si>
  <si>
    <t>Years</t>
  </si>
  <si>
    <t>Top 10 Models</t>
  </si>
  <si>
    <t>There may not be 10 models for each measure - or they may be more, depending on the device.</t>
  </si>
  <si>
    <t>Model 1</t>
  </si>
  <si>
    <t>Model 2</t>
  </si>
  <si>
    <t>Model 3</t>
  </si>
  <si>
    <t>Model 4</t>
  </si>
  <si>
    <t>Model 5</t>
  </si>
  <si>
    <t>Model 6</t>
  </si>
  <si>
    <t>Model 7</t>
  </si>
  <si>
    <t>Model 8</t>
  </si>
  <si>
    <t>Model 9</t>
  </si>
  <si>
    <t>Model 10</t>
  </si>
  <si>
    <t>Vented Electric, Standard (4.4 ft3 or greater capacity)</t>
  </si>
  <si>
    <t>Vented Electric, Compact (120V) (less than 4.4 ft3 capacity)</t>
  </si>
  <si>
    <t>Vented Electric, Compact (240V) (less than 4.4 ft3 capacity)</t>
  </si>
  <si>
    <t>Ventless Electric, Compact (240V) (less than 4.4 ft3 capacity)</t>
  </si>
  <si>
    <t>Vented Gas</t>
  </si>
  <si>
    <t>ENERGY STAR Ventless or vented electric, standard (4.4 cu-ft or greater)</t>
  </si>
  <si>
    <t>ENERGY STAR Ventless or vented electric, compact (120V) less than 4.4 cu ft capacity</t>
  </si>
  <si>
    <t>ENERGY STAR Vented electric, compact (240V) less than 4.4 cu-ft capacity</t>
  </si>
  <si>
    <t>ENERGY STAR Ventless electric, compact (240V) less than 4.4 cu-ft capacity</t>
  </si>
  <si>
    <t>ENERGY STAR Vented Gas</t>
  </si>
  <si>
    <t>7.3 - 7.4</t>
  </si>
  <si>
    <t>7.3 - 8.8</t>
  </si>
  <si>
    <t>3.4 - 4.4</t>
  </si>
  <si>
    <t>2.6 - 4.4</t>
  </si>
  <si>
    <t>6.0 - 8.0</t>
  </si>
  <si>
    <t>Unit Shipments (in millions)</t>
  </si>
  <si>
    <t>Clothes Dryers Key Product Criteria</t>
  </si>
  <si>
    <t>https://www.energystar.gov/index.cfm?c=clothesdry.pr_crit_clothes_dryers</t>
  </si>
  <si>
    <t>Size, Measure descriptions</t>
  </si>
  <si>
    <t xml:space="preserve">DOE  </t>
  </si>
  <si>
    <t>Rulemaking for Residential Clothes Dryers Test Procedure</t>
  </si>
  <si>
    <t>http://www1.eere.energy.gov/buildings/appliance_standards/rulemaking.aspx/ruleid/54</t>
  </si>
  <si>
    <t>ACEEE, Ecova</t>
  </si>
  <si>
    <t>The Time is Ripe for Paying Attention to Clothes Drying Technology and Policy in Relation to Efficiency and Drying Time</t>
  </si>
  <si>
    <t>http://www.aceee.org/files/proceedings/2014/data/index.htm</t>
  </si>
  <si>
    <t>ACEEE, NEEA, Ecova</t>
  </si>
  <si>
    <t>Clothes Dryer Testing:  Testy Testing Makes for Better Transformation</t>
  </si>
  <si>
    <t>ACEEE, Vermont Energy Investment Corporation</t>
  </si>
  <si>
    <t>A New Model for Emerging Technologies: A Case Study of the Super Efficient Dryers Initiative</t>
  </si>
  <si>
    <t xml:space="preserve">Bringing North American Clothes Dryers into the 21st Century: A Case Study in Moving Markets </t>
  </si>
  <si>
    <t>http://www.aceee.org/files/proceedings/2012/start.htm</t>
  </si>
  <si>
    <t>ENERGY STAR</t>
  </si>
  <si>
    <t>Super Efficient Dryer Initiative</t>
  </si>
  <si>
    <t>https://www.energystar.gov/ia/partners/downloads/meetings/2010/Super_Efficient_Dryer_Initiative.pdf</t>
  </si>
  <si>
    <t>Super Efficient Dryer Initiative 2012 ENERGY STAR Partner Meeting</t>
  </si>
  <si>
    <t>https://www.energystar.gov/ia/partners/downloads/SEDI.pdf?0b55-1475</t>
  </si>
  <si>
    <t>Ecova, CLASP, SEDI</t>
  </si>
  <si>
    <t xml:space="preserve">Analysis of Potential Energy Savings from Heat Pump Clothes Dryers in North America </t>
  </si>
  <si>
    <t>NEEA, Ecova</t>
  </si>
  <si>
    <t>Emerging  Technology  Dryer Testing</t>
  </si>
  <si>
    <t>http://neea.org/docs/default-source/reports/emerging-technology-dryer-testing.pdf?sfvrsn=7</t>
  </si>
  <si>
    <t>ACEEE, Navigant</t>
  </si>
  <si>
    <t xml:space="preserve">Estimating the Remaining Useful Life of Residential Appliances </t>
  </si>
  <si>
    <t>http://aceee.org/files/proceedings/2010/data/papers/1977.pdf</t>
  </si>
  <si>
    <t xml:space="preserve">HEER/BCE </t>
  </si>
  <si>
    <t xml:space="preserve">Program &amp; Technology Review of Two Residential Product Programs: Home Energy Efficiency Rebate (HEER) / Business &amp; Consumer Electronics (BCE) </t>
  </si>
  <si>
    <t>http://www.calmac.org/publications/HEER__BCE_083012_FINAL.pdf</t>
  </si>
  <si>
    <t>Measure descriptions, efficiency requirements, EUL</t>
  </si>
  <si>
    <t>DOE/EERE</t>
  </si>
  <si>
    <t>Technical Support Document: Chapter 9 Shipment analysis</t>
  </si>
  <si>
    <t>http://www.regulations.gov/#!documentDetail;D=EERE-2007-BT-STD-0010-0053</t>
  </si>
  <si>
    <t>Market share by product class</t>
  </si>
  <si>
    <t>Product finder - Certified Residential Clothes Dryers</t>
  </si>
  <si>
    <t>https://www.energystar.gov/productfinder/product/certified-clothes-dryers/</t>
  </si>
  <si>
    <t>2013 Emerging Technology Award: Advanced Clothes Dryers</t>
  </si>
  <si>
    <t>http://www.energystar.gov/about/awards/awards-archive/2013-emerging-technology-award-advanced-clothes-dryers</t>
  </si>
  <si>
    <t>Home Depot</t>
  </si>
  <si>
    <t>Search results for DV457 Model</t>
  </si>
  <si>
    <t>http://www.homedepot.com/s/dv457?NCNI-5</t>
  </si>
  <si>
    <t>2014 Emerging Technology Award: Advanced Clothes Dryers</t>
  </si>
  <si>
    <t>http://www.energystar.gov/about/awards/energy-star-emerging-technology-award/2014-emerging-technology-award-advanced-clothes-dryers</t>
  </si>
  <si>
    <t>DOE</t>
  </si>
  <si>
    <t>Residential Clothes Dryers Standards</t>
  </si>
  <si>
    <t>http://www1.eere.energy.gov/buildings/appliance_standards/product.aspx/productid/36#standards</t>
  </si>
  <si>
    <t>Product Finder - LG - DLHX4072</t>
  </si>
  <si>
    <t>https://www.energystar.gov/productfinder/product/certified-clothes-dryers/details/2216729</t>
  </si>
  <si>
    <t>Size, measure descriptions, efficiency requirement</t>
  </si>
  <si>
    <t>ENERGY STAR Market &amp; Industry Scoping Report Residential Clothes Dryers November 2011</t>
  </si>
  <si>
    <t>http://www.energystar.gov/ia/products/downloads/ENERGY_STAR_Scoping_Report_Residential_Clothes_Dryers.pdf</t>
  </si>
  <si>
    <t>Max Tech and Beyond: Cumulative (30-year) Technical Energy-Savings Potential Estimates</t>
  </si>
  <si>
    <t>CNET</t>
  </si>
  <si>
    <t>http://www.cnet.com/topics/dryers/buying-guide/</t>
  </si>
  <si>
    <t>NRDC</t>
  </si>
  <si>
    <t>http://docs.nrdc.org/energy/files/ene_14060901a.pdf</t>
  </si>
  <si>
    <t>http://www.energystar.gov/sites/default/files/asset/document/2014%20Emerging%20Technology%20Award%20_Advanced%20Clothes%20Dryer%20Models%20093014.pdf</t>
  </si>
  <si>
    <t>Reviewed.com</t>
  </si>
  <si>
    <t>http://laundry.reviewed.com/news/lgs-heat-pump-gives-dryers-some-much-needed-efficiency</t>
  </si>
  <si>
    <t>Home Guides</t>
  </si>
  <si>
    <t>http://homeguides.sfgate.com/average-life-frontloading-dryer-102084.html</t>
  </si>
  <si>
    <t>http://www.energystar.gov/sites/default/files/specs//ENERGY%20STAR%20Final%20Version%201%200%20Clothes%20Dryers%20Program%20Requirements.pdf</t>
  </si>
  <si>
    <t>No current energy star qualified models for this measure</t>
  </si>
  <si>
    <t>http://www.sears.com/kenmore-elite-7.4-cu-ft-front-load-electric/p-02681582000P?prdNo=1&amp;blockNo=1&amp;blockType=G1</t>
  </si>
  <si>
    <t>http://www.sears.com.pr/kenmore-elite-7.3-cu-ft-electric-dryer-w/p-02661423000P</t>
  </si>
  <si>
    <t>http://www.sears.com/lg-7.4-cu-ft-ultra-large-capacity-steamdryer-8482/p-02685572000P?prdNo=1&amp;blockNo=1&amp;blockType=G1</t>
  </si>
  <si>
    <t>http://www.maytag.com/Laundry-1/Laundry_Laundry_Appliances_Dryers-3/102120054+4294965967/?cvosrc=ppc.google.maytag%20clothes%20dryer&amp;matchtype=e&amp;network=g&amp;mobile&amp;search=1&amp;content&amp;creative=30565278370&amp;keyword=maytag%20clothes%20dryer&amp;adposition=1t1&amp;gclid=Cj0KEQjw8aeiBRCknPXk-u_V_4gBEiQAD2-mgbDcddhUG_sVAMLAhzPN8pmEkxOZZ6LdOiTfiLV2qDMaAo0t8P8HAQ#back</t>
  </si>
  <si>
    <t>http://www.lg.com/us/dryers/lg-DLGX3371V-gas-dryer</t>
  </si>
  <si>
    <t>http://www.sears.com/kenmore-elite-7.3-cu-ft-gas-dryer-w/p-02671422000P?prdNo=9&amp;blockNo=9&amp;blockType=G9</t>
  </si>
  <si>
    <t>http://www.sears.com/whirlpool-3.8-cu-ft-electric-compact-dryer/p-02660122000P?prdNo=1&amp;blockNo=1&amp;blockType=G1</t>
  </si>
  <si>
    <t>http://www.sears.com/ge-3.6-cu-ft-electric-dryer/p-02608302000P?prdNo=2&amp;blockNo=2&amp;blockType=G2</t>
  </si>
  <si>
    <t>http://www.sears.com/kenmore-3.4-cu-ft-electric-compact-portable-extra/p-02684722000P?prdNo=3&amp;blockNo=3&amp;blockType=G3</t>
  </si>
  <si>
    <t>http://www.sears.com/bosch-ascenta-4.0-cu-ft-condensation-electric-dryer/p-02689132000P?prdNo=4&amp;blockNo=4&amp;blockType=G4</t>
  </si>
  <si>
    <t>http://www.sears.com/whirlpool-3.4-cu-ft-120v-electric-dryer-white/p-02608862000P?prdNo=5&amp;blockNo=5&amp;blockType=G5</t>
  </si>
  <si>
    <t>http://www.sears.com/ge-3.6-cu-ft-electric-dryer/p-02608262000P?prdNo=6&amp;blockNo=6&amp;blockType=G6</t>
  </si>
  <si>
    <t>http://www.sears.com/whirlpool-3.4-cu-ft-dryer/p-02608782000P?prdNo=7&amp;blockNo=7&amp;blockType=G7</t>
  </si>
  <si>
    <t>ES - Electric</t>
  </si>
  <si>
    <t>ES - Gas</t>
  </si>
  <si>
    <t>http://www.sears.com/ge-3.6-cu-ft-electric-dryer/p-02608252000P?prdNo=8&amp;blockNo=8&amp;blockType=G8</t>
  </si>
  <si>
    <t>http://www.sears.com/bosch-axxis-4.0-cu-ft-condensation-electric-dryer/p-02689142000P?prdNo=9&amp;blockNo=9&amp;blockType=G9</t>
  </si>
  <si>
    <t>http://www.lowes.com/Appliances/Washers-Dryers/Dryers/_/N-1z11pmk/pl?Ns=p_product_qty_sales_dollar|1#!</t>
  </si>
  <si>
    <t>http://www.lowes.com/Appliances/Washers-Dryers/Dryers/_/N-1z11pmk/pl?Ns=p_product_qty_sales_dollar|1#!&amp;rpp=32&amp;page=4</t>
  </si>
  <si>
    <t>Sears</t>
  </si>
  <si>
    <t>Lowes</t>
  </si>
  <si>
    <t>http://www.lowes.com/Appliances/Washers-Dryers/Dryers/_/N-1z11pmk/pl?Ns=p_product_qty_sales_dollar|1#!&amp;rpp=32&amp;page=7</t>
  </si>
  <si>
    <t>http://www.lowes.com/Appliances/Washers-Dryers/Dryers/_/N-1z11pmk/pl?Ns=p_product_qty_sales_dollar|1#!&amp;rpp=32&amp;page=8</t>
  </si>
  <si>
    <t>http://www.lowes.com/Washers-Dryers/Dryers/Electric-Dryers/_/N-1z11pmj/pl?Ns=p_product_qty_sales_dollar|1#!&amp;N%5B%5D=1z0uzwn&amp;N%5B%5D=1z11pmj</t>
  </si>
  <si>
    <t>http://www.lowes.com/Washers-Dryers/Dryers/Electric-Dryers/_/N-1z11pmj/pl?Ns=p_product_qty_sales_dollar|1#!&amp;N%5B%5D=1z10i2f&amp;N%5B%5D=1z11pmj</t>
  </si>
  <si>
    <t>http://www.lowes.com/Washers-Dryers/Dryers/Electric-Dryers/_/N-1z11pmj/pl?Ns=p_product_qty_sales_dollar|1#!&amp;N%5B%5D=1z11pmj&amp;N%5B%5D=1z140kk</t>
  </si>
  <si>
    <t>http://www.lowes.com/Washers-Dryers/Dryers/Electric-Dryers/_/N-1z11pmj/pl?Ns=p_product_qty_sales_dollar|1#!&amp;N%5B%5D=1z11pmj&amp;N%5B%5D=1z140kk&amp;rpp=32&amp;page=1</t>
  </si>
  <si>
    <t>http://www.lowes.com/Washers-Dryers/Dryers/Gas-Dryers/_/N-1z10a69/pl?Ns=p_product_qty_sales_dollar|1#!&amp;N%5B%5D=1z10a69&amp;N%5B%5D=1z10i2f</t>
  </si>
  <si>
    <t>Whirlpool</t>
  </si>
  <si>
    <t>http://www.lowes.com/pd_269346-46-LER3622PQ_1z11pmj+1z140kk__?productId=3236622&amp;Ns=p_product_qty_sales_dollar|1&amp;pl=1&amp;currentURL=%3FNs%3Dp_product_qty_sales_dollar%7C1%26page%3D1&amp;facetInfo=Whirlpool</t>
  </si>
  <si>
    <t>http://www.lowes.com/pd_269345-46-LDR3822PQ_1z11pmj+1z140kk__?productId=3236620&amp;Ns=p_product_qty_sales_dollar|1&amp;pl=1&amp;currentURL=%3FNs%3Dp_product_qty_sales_dollar%7C1%26page%3D1&amp;facetInfo=Whirlpool</t>
  </si>
  <si>
    <t>GE</t>
  </si>
  <si>
    <t>http://www.lowes.com/pd_354610-83-DCVH480EKWW_1z11pmj+1z140u3__?productId=3358794&amp;Ns=p_product_qty_sales_dollar|1&amp;pl=1&amp;currentURL=%3FNs%3Dp_product_qty_sales_dollar%7C1%26page%3D1&amp;facetInfo=GE</t>
  </si>
  <si>
    <t>Brand</t>
  </si>
  <si>
    <t>Kenmore</t>
  </si>
  <si>
    <t>Bosch</t>
  </si>
  <si>
    <t>6146####</t>
  </si>
  <si>
    <t>LG</t>
  </si>
  <si>
    <t>Maytag</t>
  </si>
  <si>
    <t>SafeMate</t>
  </si>
  <si>
    <t>DLE3170*</t>
  </si>
  <si>
    <t>DLHX4072*</t>
  </si>
  <si>
    <t>HYE3500CGEED</t>
  </si>
  <si>
    <t>MED4100DW</t>
  </si>
  <si>
    <t>http://www.lowes.com/pd_591355-46-MED5100DW_0__?Ntt=med5100dw&amp;UserSearch=med5100dw&amp;productId=50192087&amp;rpp=32</t>
  </si>
  <si>
    <t>MED8100DW</t>
  </si>
  <si>
    <t>http://www.maytag.com/-[MED8100DW]-1112075/MED8100DW/</t>
  </si>
  <si>
    <t>WED72HEDW</t>
  </si>
  <si>
    <t>WED8000D*+</t>
  </si>
  <si>
    <t>Model #</t>
  </si>
  <si>
    <t>DLEX3570W</t>
  </si>
  <si>
    <t>DLEX4270V</t>
  </si>
  <si>
    <t>MED3100DW</t>
  </si>
  <si>
    <t>MED5100DW</t>
  </si>
  <si>
    <t>MED7100DW</t>
  </si>
  <si>
    <t>7146####</t>
  </si>
  <si>
    <t>DLG3171*</t>
  </si>
  <si>
    <t>DLGX3371*</t>
  </si>
  <si>
    <t>WED7500VW</t>
  </si>
  <si>
    <t>DSKP333ECWW</t>
  </si>
  <si>
    <t>WTB86200UC</t>
  </si>
  <si>
    <t>LDR3822PQ</t>
  </si>
  <si>
    <t>DSKS333ECWW</t>
  </si>
  <si>
    <t>LER3622PQ</t>
  </si>
  <si>
    <t>DSKS433EBWW</t>
  </si>
  <si>
    <t>WTB86201UC</t>
  </si>
  <si>
    <t>WED4800BQ</t>
  </si>
  <si>
    <t>WED5800BW</t>
  </si>
  <si>
    <t>WED8000BW</t>
  </si>
  <si>
    <t>WED8900BC</t>
  </si>
  <si>
    <t>WED95HEDW</t>
  </si>
  <si>
    <t>WED8500BW</t>
  </si>
  <si>
    <t>WED4850BW</t>
  </si>
  <si>
    <t>WED70HEBW</t>
  </si>
  <si>
    <t>WED94HEAW</t>
  </si>
  <si>
    <t>WED5800BC</t>
  </si>
  <si>
    <t>WED49STBW</t>
  </si>
  <si>
    <t>WED8500BC</t>
  </si>
  <si>
    <t>WED5500BW</t>
  </si>
  <si>
    <t>WED8500BR</t>
  </si>
  <si>
    <t>WED8900BW</t>
  </si>
  <si>
    <t>WED88HEAW</t>
  </si>
  <si>
    <t>WED96HEAC</t>
  </si>
  <si>
    <t>WED4870BW</t>
  </si>
  <si>
    <t>WEL98HEBU</t>
  </si>
  <si>
    <t>GTDP490EDWS</t>
  </si>
  <si>
    <t>DCVH480EKWW</t>
  </si>
  <si>
    <t>GTDP200EFW</t>
  </si>
  <si>
    <t>GFDR270EHWW</t>
  </si>
  <si>
    <t>GTDP740EDWW</t>
  </si>
  <si>
    <t>GTDS560EFWS</t>
  </si>
  <si>
    <t>GFDN120EDWW</t>
  </si>
  <si>
    <t>WED81HEDW</t>
  </si>
  <si>
    <t>WED8500DW</t>
  </si>
  <si>
    <t>WED8740DW</t>
  </si>
  <si>
    <t>WED87HEDC</t>
  </si>
  <si>
    <t>http://www.lowes.com/Washers-Dryers/Dryers/Electric-Dryers/_/N-1z11pmj/pl?Ns=p_product_qty_sales_dollar|1#!&amp;N%5B%5D=1z11pmj&amp;N%5B%5D=1z140kk&amp;Va=false&amp;page=1&amp;rpp=48</t>
  </si>
  <si>
    <t>WED97HEDW</t>
  </si>
  <si>
    <t>http://www.sears.com/kenmore-elite-7.4-cu-ft-front-load-gas/p-02691582000P?prdNo=1&amp;blockNo=1&amp;blockType=G1</t>
  </si>
  <si>
    <t>GFDR485EFRR</t>
  </si>
  <si>
    <t>http://www.lowes.com/Washers-Dryers/Dryers/Electric-Dryers/_/N-1z11pmj/pl?Ns=p_product_qty_sales_dollar|1#!&amp;N%5B%5D=1z11pmj&amp;N%5B%5D=1z140u3</t>
  </si>
  <si>
    <t>GTDX180EDWW</t>
  </si>
  <si>
    <t>http://www.lowes.com/pd_260389-83-DSKP333ECWW_1z11pmj+1z140u3__?productId=3328254&amp;Ns=p_product_qty_sales_dollar|1&amp;pl=1&amp;currentURL=%3FNs%3Dp_product_qty_sales_dollar%7C1%26page%3D1&amp;facetInfo=GE</t>
  </si>
  <si>
    <t>GTDX400EDWS</t>
  </si>
  <si>
    <t>GTDP180EDWW</t>
  </si>
  <si>
    <t>GFDR485EFMC</t>
  </si>
  <si>
    <t>http://www.lowes.com/pd_260392-83-DSKS433EBWW_1z11pmj+1z140u3__?productId=3502336&amp;Ns=p_product_qty_sales_dollar|1&amp;pl=1&amp;currentURL=%3FNs%3Dp_product_qty_sales_dollar%7C1%26page%3D1&amp;facetInfo=GE</t>
  </si>
  <si>
    <t>GFDR480EFWW</t>
  </si>
  <si>
    <t>GTDP280EDWW</t>
  </si>
  <si>
    <t>GTDS820EDWS</t>
  </si>
  <si>
    <t>GTDL210EDWW</t>
  </si>
  <si>
    <t>GTDP220EFWW</t>
  </si>
  <si>
    <t>GTDX185EDCC</t>
  </si>
  <si>
    <t>GTDS825EDMC</t>
  </si>
  <si>
    <t>GFDS170EHWW</t>
  </si>
  <si>
    <t>GTDS850EDWS</t>
  </si>
  <si>
    <t>GTDN550EDWW</t>
  </si>
  <si>
    <t>GTDL740EDWW</t>
  </si>
  <si>
    <t>GTDS855EDMC</t>
  </si>
  <si>
    <t>GFDS260EFWW</t>
  </si>
  <si>
    <t>Samsung</t>
  </si>
  <si>
    <t>DV42H5200EF</t>
  </si>
  <si>
    <t>http://www.lowes.com/Washers-Dryers/Dryers/Electric-Dryers/_/N-1z11pmj/pl?Ns=p_product_qty_sales_dollar|1#!&amp;N%5B%5D=1z11pmj&amp;N%5B%5D=1z13z1v</t>
  </si>
  <si>
    <t>DV45H7000EW</t>
  </si>
  <si>
    <t>DV42H5200EW</t>
  </si>
  <si>
    <t>DV400EWHDWR</t>
  </si>
  <si>
    <t>DV42H5000EW</t>
  </si>
  <si>
    <t>DV50F9A7EVP</t>
  </si>
  <si>
    <t>DV42H5600EW</t>
  </si>
  <si>
    <t>DV50F9A7EVW</t>
  </si>
  <si>
    <t>DV45H6300EW</t>
  </si>
  <si>
    <t>DV45H6300EG</t>
  </si>
  <si>
    <t>DV56H9100EG</t>
  </si>
  <si>
    <t>DV42H5600EP</t>
  </si>
  <si>
    <t>DV48H7400EW</t>
  </si>
  <si>
    <t>DV56H9000EW</t>
  </si>
  <si>
    <t>DV50F9A6EVW</t>
  </si>
  <si>
    <t>DV405ETPAWR</t>
  </si>
  <si>
    <t>DV56H9100EW</t>
  </si>
  <si>
    <t>DV42H5200EP</t>
  </si>
  <si>
    <t>DV45H7200EW</t>
  </si>
  <si>
    <t>DV56H9000EP</t>
  </si>
  <si>
    <t>DV42H5400EF</t>
  </si>
  <si>
    <t>DV50F9A8EVP</t>
  </si>
  <si>
    <t>DV42H5400EW</t>
  </si>
  <si>
    <t>GTDP490GDWS</t>
  </si>
  <si>
    <t>http://www.lowes.com/Washers-Dryers/Dryers/Gas-Dryers/_/N-1z10a69/pl?Ns=p_product_qty_sales_dollar|1#!&amp;N%5B%5D=1z10a69&amp;N%5B%5D=1z140u3</t>
  </si>
  <si>
    <t>GFDR270GHWW</t>
  </si>
  <si>
    <t>GTDP740GDWW</t>
  </si>
  <si>
    <t>GTDP200GFWS</t>
  </si>
  <si>
    <t>GTDP220GFWW</t>
  </si>
  <si>
    <t>GTDS560GFWS</t>
  </si>
  <si>
    <t>GTDX400GDWS</t>
  </si>
  <si>
    <t>GFDS265GFRR</t>
  </si>
  <si>
    <t>GTDX180GDWW</t>
  </si>
  <si>
    <t>GFDS260GFWW</t>
  </si>
  <si>
    <t>GTDS820GDWS</t>
  </si>
  <si>
    <t>GTDP520GDWW</t>
  </si>
  <si>
    <t>GTDN550GDWW</t>
  </si>
  <si>
    <t>GFDR485GFRR</t>
  </si>
  <si>
    <t>GTDL740GDWW</t>
  </si>
  <si>
    <t>GTDL210GDWW</t>
  </si>
  <si>
    <t>GTDS850GDWS</t>
  </si>
  <si>
    <t>GTDP280GDWW</t>
  </si>
  <si>
    <t>GFDR485GFMC</t>
  </si>
  <si>
    <t>GTDX185GDCC</t>
  </si>
  <si>
    <t>GTDP180GDWW</t>
  </si>
  <si>
    <t>GFDR480GFWW</t>
  </si>
  <si>
    <t>GFDN120GDWW</t>
  </si>
  <si>
    <t>GTDS855GDMC</t>
  </si>
  <si>
    <t>DV42H5200GF</t>
  </si>
  <si>
    <t>http://www.lowes.com/Washers-Dryers/Dryers/Gas-Dryers/_/N-1z10a69/pl?Ns=p_product_qty_sales_dollar|1#!&amp;N%5B%5D=1z10a69&amp;N%5B%5D=1z13z1v</t>
  </si>
  <si>
    <t>Manufacturer</t>
  </si>
  <si>
    <t>Sears Wbsite</t>
  </si>
  <si>
    <t>Lowes website</t>
  </si>
  <si>
    <t>Home Depot Website</t>
  </si>
  <si>
    <t>Manufacturer Website</t>
  </si>
  <si>
    <t>DV42H5200GW</t>
  </si>
  <si>
    <t>DV45H7000GW</t>
  </si>
  <si>
    <t>DV42H5600GW</t>
  </si>
  <si>
    <t>DV45H6300GW</t>
  </si>
  <si>
    <t>DV50F9A7GVW</t>
  </si>
  <si>
    <t>DV400GWHDWR</t>
  </si>
  <si>
    <t>DV42H5000GW</t>
  </si>
  <si>
    <t>DV56H9100GW</t>
  </si>
  <si>
    <t>DV50F9A7GVP</t>
  </si>
  <si>
    <t>DV48H7400GW</t>
  </si>
  <si>
    <t>DV56H9100GG</t>
  </si>
  <si>
    <t>DV56H9000GW</t>
  </si>
  <si>
    <t>DV42H5600GP</t>
  </si>
  <si>
    <t>DV50F9A6GVW</t>
  </si>
  <si>
    <t>DV45H6300GG</t>
  </si>
  <si>
    <t>DV45H7200GW</t>
  </si>
  <si>
    <t>DV42H5200GP</t>
  </si>
  <si>
    <t>DV56H9000GP</t>
  </si>
  <si>
    <t>DV42H5400GW</t>
  </si>
  <si>
    <t>DV42H5400GF</t>
  </si>
  <si>
    <t>WGD4800BQ</t>
  </si>
  <si>
    <t>http://www.lowes.com/Washers-Dryers/Dryers/Gas-Dryers/_/N-1z10a69/pl?Ns=p_product_qty_sales_dollar|1#!&amp;N%5B%5D=1z10a69&amp;N%5B%5D=1z140kk</t>
  </si>
  <si>
    <t>WGD5800BW</t>
  </si>
  <si>
    <t>WGD8740DW</t>
  </si>
  <si>
    <t>WGD72HEDW</t>
  </si>
  <si>
    <t>WGD8000BW</t>
  </si>
  <si>
    <t>WGD8900BC</t>
  </si>
  <si>
    <t>WGD95HEDW</t>
  </si>
  <si>
    <t>WGD8500BW</t>
  </si>
  <si>
    <t>WGD4850BW</t>
  </si>
  <si>
    <t>WGD95HEDU</t>
  </si>
  <si>
    <t>WGD5800BC</t>
  </si>
  <si>
    <t>WGD8900BW</t>
  </si>
  <si>
    <t>WGD8500BC</t>
  </si>
  <si>
    <t>WGD5500BW</t>
  </si>
  <si>
    <t>WGD8740DC</t>
  </si>
  <si>
    <t>WGD49STBW</t>
  </si>
  <si>
    <t>WGD8500BR</t>
  </si>
  <si>
    <t>WGD97HEDC</t>
  </si>
  <si>
    <t>WGD97HEDBD</t>
  </si>
  <si>
    <t>WGD95HEDC</t>
  </si>
  <si>
    <t>DLGX3251W</t>
  </si>
  <si>
    <t>DLG1102W</t>
  </si>
  <si>
    <t>DLGX3571W</t>
  </si>
  <si>
    <t>DLG4971W</t>
  </si>
  <si>
    <t>DLGX8501V</t>
  </si>
  <si>
    <t>DLGX3571V</t>
  </si>
  <si>
    <t>DLGX8001V</t>
  </si>
  <si>
    <t>DLGX5681V</t>
  </si>
  <si>
    <t>DLGX5681W</t>
  </si>
  <si>
    <t>DLGY1202V</t>
  </si>
  <si>
    <t>DLGX8001W</t>
  </si>
  <si>
    <t>DLGY1202W</t>
  </si>
  <si>
    <t>DLGX2651W</t>
  </si>
  <si>
    <t>DLGX3251V</t>
  </si>
  <si>
    <t>DLGY1702W</t>
  </si>
  <si>
    <t>DLGX4271V</t>
  </si>
  <si>
    <t>DLGY1702V</t>
  </si>
  <si>
    <t>MGDC300BW</t>
  </si>
  <si>
    <t>MGD5100DW</t>
  </si>
  <si>
    <t>MGDB880BW</t>
  </si>
  <si>
    <t>MGDB725BW</t>
  </si>
  <si>
    <t>MGDB700BW</t>
  </si>
  <si>
    <t>MGDX500BW</t>
  </si>
  <si>
    <t>MGDC400BW</t>
  </si>
  <si>
    <t>MGD7100DC</t>
  </si>
  <si>
    <t>MGD5100DC</t>
  </si>
  <si>
    <t>MGD7100DW</t>
  </si>
  <si>
    <t>MGDB980BG</t>
  </si>
  <si>
    <t>MGDB980BW</t>
  </si>
  <si>
    <t>DLE1101W</t>
  </si>
  <si>
    <t>DLE3050W</t>
  </si>
  <si>
    <t>DLEX3250W</t>
  </si>
  <si>
    <t>DLE4970W</t>
  </si>
  <si>
    <t>DLEX5680W</t>
  </si>
  <si>
    <t>DLEX5680V</t>
  </si>
  <si>
    <t>DLEY1201V</t>
  </si>
  <si>
    <t>DLEX3570V</t>
  </si>
  <si>
    <t>DLEX8000V</t>
  </si>
  <si>
    <t>DLEX8500V</t>
  </si>
  <si>
    <t>DLEC855W</t>
  </si>
  <si>
    <t>DLEX2650W</t>
  </si>
  <si>
    <t>DLEY1201W</t>
  </si>
  <si>
    <t>DLEY1701W</t>
  </si>
  <si>
    <t>DLEY1701V</t>
  </si>
  <si>
    <t>DLEX8000W</t>
  </si>
  <si>
    <t>DLEX3250V</t>
  </si>
  <si>
    <t>MEDC300BW</t>
  </si>
  <si>
    <t>http://www.lowes.com/Washers-Dryers/Dryers/Electric-Dryers/_/N-1z11pmj/pl?Ns=p_product_qty_sales_dollar|1#!&amp;N%5B%5D=1z11pmj&amp;N%5B%5D=1z140bc</t>
  </si>
  <si>
    <t>MEDB880BW</t>
  </si>
  <si>
    <t>MEDB725BW</t>
  </si>
  <si>
    <t>MEDX500BW</t>
  </si>
  <si>
    <t>MED7500YW</t>
  </si>
  <si>
    <t>MEDB980BG</t>
  </si>
  <si>
    <t>MED7100DC</t>
  </si>
  <si>
    <t>MEDB700BW</t>
  </si>
  <si>
    <t>MED8000AG</t>
  </si>
  <si>
    <t>MED5100DC</t>
  </si>
  <si>
    <t>MEDB980BW</t>
  </si>
  <si>
    <t>MED4200BW</t>
  </si>
  <si>
    <t>MEDX655DW</t>
  </si>
  <si>
    <t>Vented Compact Electric -240V</t>
  </si>
  <si>
    <t>Ventless Compact Electric -240V</t>
  </si>
  <si>
    <t>http://www.homedepot.com/b/Appliances-Washers-Dryers-Dryers-Electric-Dryers/GE/N-5yc1vZc3q1Zlo</t>
  </si>
  <si>
    <t>GHDS365EFRR</t>
  </si>
  <si>
    <t>GHDP490EFWW</t>
  </si>
  <si>
    <t>GHDS835EDMC</t>
  </si>
  <si>
    <t>GTDP200EFWS</t>
  </si>
  <si>
    <t>GFDS140EDWW</t>
  </si>
  <si>
    <t>DNCD450EGWC</t>
  </si>
  <si>
    <t>GFDS265EFRR</t>
  </si>
  <si>
    <t>http://www.homedepot.com/b/Appliances-Washers-Dryers-Dryers-Electric-Dryers/GE/N-5yc1vZc3q1Zlo?Nao=24</t>
  </si>
  <si>
    <t>http://www.homedepot.com/b/Appliances-Washers-Dryers-Dryers-Electric-Dryers/Whirlpool/N-5yc1vZc3q1Z4l4</t>
  </si>
  <si>
    <t>WED5000DW</t>
  </si>
  <si>
    <t>WED95HEDC</t>
  </si>
  <si>
    <t>CEM2743BQ</t>
  </si>
  <si>
    <t>WED87HEDW</t>
  </si>
  <si>
    <t>WED8500DC</t>
  </si>
  <si>
    <t>CEM2793BQ</t>
  </si>
  <si>
    <t>WED9051YW</t>
  </si>
  <si>
    <t>http://www.homedepot.com/b/Appliances-Washers-Dryers-Dryers-Electric-Dryers/LG-Electronics/N-5yc1vZc3q1Z21j</t>
  </si>
  <si>
    <t>http://www.homedepot.com/p/LG-Electronics-4-2-cu-ft-Electric-Ventless-Dryer-in-White-DLEC855W/202336986?N=5yc1vZc3q1Z21j</t>
  </si>
  <si>
    <t>DLE1001W</t>
  </si>
  <si>
    <t>DLEX4270W</t>
  </si>
  <si>
    <t>DLEX3370V</t>
  </si>
  <si>
    <t>http://www.homedepot.com/b/Appliances-Washers-Dryers-Dryers-Electric-Dryers/Samsung/N-5yc1vZc3q1Za0f</t>
  </si>
  <si>
    <t>DV50F9A8EVW</t>
  </si>
  <si>
    <t>http://www.homedepot.com/b/Appliances-Washers-Dryers-Dryers-Electric-Dryers/Maytag/N-5yc1vZc3q1Zz2</t>
  </si>
  <si>
    <t>MEDC400BW</t>
  </si>
  <si>
    <t>http://www.homedepot.com/b/Appliances-Washers-Dryers-Dryers-Gas-Dryers/GE/N-5yc1vZc3o3Zlo</t>
  </si>
  <si>
    <t>GHDS365GFRR</t>
  </si>
  <si>
    <t>GFDS170GHWW</t>
  </si>
  <si>
    <t>GHDP490GFWW</t>
  </si>
  <si>
    <t>GHDS835GDMC</t>
  </si>
  <si>
    <t>GFDS140GDWW</t>
  </si>
  <si>
    <t>DNCD450GGWC</t>
  </si>
  <si>
    <t>http://www.homedepot.com/b/Appliances-Washers-Dryers-Dryers-Gas-Dryers/Whirlpool/N-5yc1vZc3o3Z4l4</t>
  </si>
  <si>
    <t>WGD5000DW</t>
  </si>
  <si>
    <t>WGD87HEDW</t>
  </si>
  <si>
    <t>CGM2743BQ</t>
  </si>
  <si>
    <t>CGM2793BQ</t>
  </si>
  <si>
    <t>WGD97HEDU</t>
  </si>
  <si>
    <t>WGD98HEBU</t>
  </si>
  <si>
    <t>WGD8500DC</t>
  </si>
  <si>
    <t>DLG3051W</t>
  </si>
  <si>
    <t>http://www.homedepot.com/b/Appliances-Washers-Dryers-Dryers-Gas-Dryers/LG-Electronics/N-5yc1vZc3o3Z21j</t>
  </si>
  <si>
    <t>DLGX5171W</t>
  </si>
  <si>
    <t>DLG1002W</t>
  </si>
  <si>
    <t>DLGX3371V</t>
  </si>
  <si>
    <t>http://www.homedepot.com/b/Appliances-Washers-Dryers-Dryers-Gas-Dryers/Samsung/N-5yc1vZc3o3Za0f</t>
  </si>
  <si>
    <t>DV50F9A8GVW</t>
  </si>
  <si>
    <t>DV50F9A8GVP</t>
  </si>
  <si>
    <t>http://www.homedepot.com/b/Appliances-Washers-Dryers-Dryers-Gas-Dryers/Maytag/N-5yc1vZc3o3Zz2</t>
  </si>
  <si>
    <t>http://www.sears.com/kenmore-7.0-cu-ft-electric-dryer-w-auto/p-02662102000P?prdNo=1&amp;blockNo=1&amp;blockType=G1</t>
  </si>
  <si>
    <t>http://www.sears.com/kenmore-7.0-cu-ft-electric-dryer-w-smartdry-trade/p-02665102000P?prdNo=2&amp;blockNo=2&amp;blockType=G2</t>
  </si>
  <si>
    <t>http://www.sears.com/kenmore-7.6-cu-ft-electric-dryer-w-sanitize/p-02668102000P?prdNo=3&amp;blockNo=3&amp;blockType=G3</t>
  </si>
  <si>
    <t>http://www.sears.com/kenmore-7.3-cu-ft-electric-dryer-w-sensor/p-02681182000P?prdNo=6&amp;blockNo=6&amp;blockType=G6</t>
  </si>
  <si>
    <t>http://www.sears.com/kenmore-7.5-cu-ft-electric-dryer-w-heated/p-02667102000P?prdNo=7&amp;blockNo=7&amp;blockType=G7</t>
  </si>
  <si>
    <t>http://www.sears.com/kenmore-7.3-cu-ft-electric-dryer-w-steam/p-02681383000P?prdNo=9&amp;blockNo=9&amp;blockType=G9</t>
  </si>
  <si>
    <t>http://www.sears.com/kenmore-7.6-cu-ft-electric-dryer-w-sanitize/p-02668103000P?prdNo=10&amp;blockNo=10&amp;blockType=G10</t>
  </si>
  <si>
    <t>http://www.sears.com/kenmore-7.0-cu-ft-top-load-electric-dryer/p-02665132000P?prdNo=11&amp;blockNo=11&amp;blockType=G11</t>
  </si>
  <si>
    <t>http://www.sears.com/kenmore-7.3-cu-ft-electric-dryer-metallic/p-02681283000P?prdNo=13&amp;blockNo=13&amp;blockType=G13</t>
  </si>
  <si>
    <t>http://www.sears.com/kenmore-7.0-cu-ft-electric-dryer-w-wrinkle/p-02681122000P?prdNo=5&amp;blockNo=5&amp;blockType=G5</t>
  </si>
  <si>
    <t>http://www.sears.com/kenmore-7.3-cu-ft-electric-dryer-w-steam/p-02681382000P?prdNo=8&amp;blockNo=8&amp;blockType=G8</t>
  </si>
  <si>
    <t>http://www.sears.com/kenmore-7.3-cu-ft-electric-dryer-white/p-02681282000P?prdNo=12&amp;blockNo=12&amp;blockType=G12</t>
  </si>
  <si>
    <t>http://www.sears.com/kenmore-6.0-cu-ft-electric-dryer-white/p-02660022000P?prdNo=14&amp;blockNo=14&amp;blockType=G14</t>
  </si>
  <si>
    <t>http://www.sears.com/whirlpool-7.0-cu-ft-electric-dryer-w-energy/p-02662302000P?prdNo=1&amp;blockNo=1&amp;blockType=G1</t>
  </si>
  <si>
    <t>http://www.sears.com/whirlpool-7.4-cu-ft-cabrio-reg-electric-dryer-w/p-02662542000P?prdNo=2&amp;blockNo=2&amp;blockType=G2</t>
  </si>
  <si>
    <t>http://www.sears.com/whirlpool-7.4-cu-ft-duet-174-electric-dryer-w/p-02682112000P?prdNo=3&amp;blockNo=3&amp;blockType=G3</t>
  </si>
  <si>
    <t>http://www.sears.com/whirlpool-7.6-cu-ft-electric-dryer-w-advanced/p-02662652000P?prdNo=4&amp;blockNo=4&amp;blockType=G4</t>
  </si>
  <si>
    <t>http://www.sears.com/whirlpool-7.4-cu-ft-duet-174-electric-dryer-w/p-02682513000P?prdNo=5&amp;blockNo=5&amp;blockType=G5</t>
  </si>
  <si>
    <t>http://www.sears.com/whirlpool-7.4-cu-ft-duet-174-electric-dryer-w/p-02682713000P?prdNo=6&amp;blockNo=6&amp;blockType=G6</t>
  </si>
  <si>
    <t>http://www.sears.com/whirlpool-7.0-cu-ft-cabrio-174-electric-dryer-w/p-02662422000P?prdNo=7&amp;blockNo=7&amp;blockType=G7</t>
  </si>
  <si>
    <t>http://www.sears.com/whirlpool-7.6-cu-ft-cabrio-reg-platinum-electric-dryer/p-02662793000P?prdNo=8&amp;blockNo=8&amp;blockType=G8</t>
  </si>
  <si>
    <t>http://www.sears.com/whirlpool-7.4-cu-ft-duet-174-electric-dryer-w/p-02682512000P?prdNo=9&amp;blockNo=9&amp;blockType=G9</t>
  </si>
  <si>
    <t>http://www.sears.com/whirlpool-7.6-cu-ft-cabrio-reg-platinum-electric-dryer/p-02662782000P?prdNo=11&amp;blockNo=11&amp;blockType=G11</t>
  </si>
  <si>
    <t>WED8100BW</t>
  </si>
  <si>
    <t>http://www.sears.com/whirlpool-7.6-cu-ft-cabrio-reg-platinum-electric-dryer/p-02662662000P?prdNo=12&amp;blockNo=12&amp;blockType=G12</t>
  </si>
  <si>
    <t>http://www.sears.com/whirlpool-7.4-cu-ft-cabrio-reg-electric-dryer-w/p-02662532000P?prdNo=13&amp;blockNo=13&amp;blockType=G13</t>
  </si>
  <si>
    <t>http://www.sears.com/whirlpool-7.4-cu-ft-duet-174-electric-dryer-w/p-02682812000P?prdNo=14&amp;blockNo=14&amp;blockType=G14</t>
  </si>
  <si>
    <t>http://www.sears.com/whirlpool-7.4-cu-ft-duet-174-electric-dryer-w/p-02682312000P?prdNo=15&amp;blockNo=15&amp;blockType=G15</t>
  </si>
  <si>
    <t>WED97HEDBD</t>
  </si>
  <si>
    <t>http://www.sears.com/whirlpool-7.4-cu-ft-duet-174-electric-dryer-w/p-02682816000P?prdNo=16&amp;blockNo=16&amp;blockType=G16</t>
  </si>
  <si>
    <t>WED95HEDU</t>
  </si>
  <si>
    <t>http://www.sears.com/whirlpool-7.4-cu-ft-duet-174-electric-dryer-w/p-02682710000P?prdNo=17&amp;blockNo=17&amp;blockType=G17</t>
  </si>
  <si>
    <t>http://www.sears.com/whirlpool-7.6-cu-ft-cabrio-reg-platinum-electric-dryer/p-02662792000P?prdNo=18&amp;blockNo=18&amp;blockType=G18</t>
  </si>
  <si>
    <t>WED97HEDU</t>
  </si>
  <si>
    <t>http://www.sears.com/whirlpool-7.4-cu-ft-duet-174-electric-dryer-w/p-02682810000P?prdNo=19&amp;blockNo=19&amp;blockType=G19</t>
  </si>
  <si>
    <t>http://www.sears.com/whirlpool-7.6-cu-ft-cabrio-reg-platinum-electric-dryer/p-02662783000P?prdNo=20&amp;blockNo=20&amp;blockType=G20</t>
  </si>
  <si>
    <t>WED97HEDC</t>
  </si>
  <si>
    <t>http://www.sears.com/whirlpool-7.4-cu-ft-duet-174-electric-dryer-w/p-02682813000P?prdNo=21&amp;blockNo=21&amp;blockType=G21</t>
  </si>
  <si>
    <t>Kenmore Elite</t>
  </si>
  <si>
    <t>http://www.sears.com/kenmore-elite-9.0-cu-ft-electric-dryer-metallic/p-02681073000P?prdNo=1&amp;blockNo=1&amp;blockType=G1</t>
  </si>
  <si>
    <t>http://www.sears.com/kenmore-elite-9.0-cu-ft-electric-dryer-white/p-02681072000P?prdNo=2&amp;blockNo=2&amp;blockType=G2</t>
  </si>
  <si>
    <t>http://www.sears.com/kenmore-elite-7.3-cu-ft-electric-dryer-w/p-02661623000P?prdNo=3&amp;blockNo=3&amp;blockType=G3</t>
  </si>
  <si>
    <t>http://www.sears.com/kenmore-elite-8.0-cu-ft-steam-electric-dryer/p-02681100000P?prdNo=5&amp;blockNo=5&amp;blockType=G5</t>
  </si>
  <si>
    <t>http://www.sears.com/kenmore-elite-7.4-cu-ft-front-load-electric/p-02681583000P?prdNo=6&amp;blockNo=6&amp;blockType=G6</t>
  </si>
  <si>
    <t>http://www.sears.com/kenmore-elite-7.3-cu-ft-electric-dryer-w/p-02661422000P?prdNo=7&amp;blockNo=7&amp;blockType=G7</t>
  </si>
  <si>
    <t>http://www.sears.com/kenmore-elite-8.0-cu-ft-steam-electric-dryer/p-02681102000P?prdNo=8&amp;blockNo=8&amp;blockType=G8</t>
  </si>
  <si>
    <t>http://www.sears.com/kenmore-elite-7.3-cu-ft-electric-dryer-w/p-02661622000P?prdNo=9&amp;blockNo=9&amp;blockType=G9</t>
  </si>
  <si>
    <t>http://www.sears.com/kenmore-elite-7.3-cu-ft-electric-steam-dryer/p-02681472000P?prdNo=11&amp;blockNo=11&amp;blockType=G11</t>
  </si>
  <si>
    <t>http://www.sears.com/kenmore-elite-7.3-cu-ft-electric-dryer-white/p-02661412000P?prdNo=12&amp;blockNo=12&amp;blockType=G12</t>
  </si>
  <si>
    <t>http://www.sears.com/ge-7.0-cu-ft-electric-dryer-white/p-02664222000P?prdNo=1&amp;blockNo=1&amp;blockType=G1</t>
  </si>
  <si>
    <t>http://www.sears.com/ge-7-cu-ft-dura-drum-electric-dryer/p-02664022000P?prdNo=2&amp;blockNo=2&amp;blockType=G2</t>
  </si>
  <si>
    <t>http://www.sears.com/ge-7.0-cu-ft-electric-dryer-white/p-02664232000P?prdNo=3&amp;blockNo=3&amp;blockType=G3</t>
  </si>
  <si>
    <t>http://www.sears.com/ge-6.0-cu-ft-electric-dryer-white/p-02664042000P?prdNo=4&amp;blockNo=4&amp;blockType=G4</t>
  </si>
  <si>
    <t>http://www.sears.com/ge-7.0-cu-ft-electric-dryer-white/p-02664252000P?prdNo=5&amp;blockNo=5&amp;blockType=G5</t>
  </si>
  <si>
    <t>http://www.sears.com/ge-7.0-cu-ft-electric-dryer-w-sensor/p-02664282000P?prdNo=6&amp;blockNo=6&amp;blockType=G6</t>
  </si>
  <si>
    <t>http://www.sears.com/ge-6.0-cu-ft-electric-dryer-white/p-02664012000P?prdNo=7&amp;blockNo=7&amp;blockType=G7</t>
  </si>
  <si>
    <t>http://www.sears.com/ge-6.0-cu-ft-electric-dryer-bisque/p-02664014000P?prdNo=8&amp;blockNo=8&amp;blockType=G8</t>
  </si>
  <si>
    <t>http://www.sears.com/ge-8.1-cu-ft-electric-dryer-with-steam/p-02684222000P?prdNo=9&amp;blockNo=9&amp;blockType=G9</t>
  </si>
  <si>
    <t>http://www.sears.com/ge-7.8-cu-ft-steam-electric-dryer-w/p-02664692000P?prdNo=10&amp;blockNo=10&amp;blockType=G10</t>
  </si>
  <si>
    <t>GTDS850EDWW</t>
  </si>
  <si>
    <t>http://www.sears.com/ge-7.8-cu-ft-electric-dryer-white/p-02664162000P?prdNo=11&amp;blockNo=11&amp;blockType=G11</t>
  </si>
  <si>
    <t>http://www.sears.com/ge-8.1-cu-ft-rightheight-8482-design-electric-dryer/p-02684322000P?prdNo=12&amp;blockNo=12&amp;blockType=G12</t>
  </si>
  <si>
    <t>http://www.sears.com/ge-7.8-cu-ft-electric-dryer-white/p-02664802000P?prdNo=13&amp;blockNo=13&amp;blockType=G13</t>
  </si>
  <si>
    <t>http://www.sears.com/ge-7.8-cu-ft-electric-dryer-metallic/p-02664161000P?prdNo=14&amp;blockNo=14&amp;blockType=G14</t>
  </si>
  <si>
    <t>http://www.sears.com/ge-7.8-cu-ft-electric-dryer-metallic/p-02664821000P?prdNo=15&amp;blockNo=15&amp;blockType=G15</t>
  </si>
  <si>
    <t>http://www.sears.com/ge-6.8-cu-ft-electric-dryer-white/p-02664002000P?prdNo=16&amp;blockNo=16&amp;blockType=G16</t>
  </si>
  <si>
    <t>http://www.sears.com/ge-8.3-cu-ft-rightheight-8482-design-electric-dryer/p-02684529000P?prdNo=17&amp;blockNo=17&amp;blockType=G17</t>
  </si>
  <si>
    <t>http://www.sears.com/ge-8.3-cu-ft-rightheight-8482-design-electric-dryer/p-02684522000P?prdNo=18&amp;blockNo=18&amp;blockType=G18</t>
  </si>
  <si>
    <t>http://www.sears.com/ge-8.3-cu-ft-rightheight-8482-design-electric-dryer/p-02684523000P?prdNo=19&amp;blockNo=19&amp;blockType=G19</t>
  </si>
  <si>
    <t>http://www.sears.com/ge-7.0-cu-ft-steam-electric-dryer-white/p-02684012000P?prdNo=20&amp;blockNo=20&amp;blockType=G20</t>
  </si>
  <si>
    <t>http://www.sears.com/samsung-7.5-cu-ft-front-load-electric-dryer/p-02686442000P?prdNo=1&amp;blockNo=1&amp;blockType=G1</t>
  </si>
  <si>
    <t>http://www.sears.com/samsung-7.5-cu-ft-front-load-electric-dryer/p-02686443000P?prdNo=2&amp;blockNo=2&amp;blockType=G2</t>
  </si>
  <si>
    <t>http://www.sears.com/samsung-7.5-cu-ft-front-load-electric-dryer/p-02686872000P?prdNo=3&amp;blockNo=3&amp;blockType=G3</t>
  </si>
  <si>
    <t>http://www.sears.com/samsung-7.5-cu-ft-front-load-electric-dryer/p-02686876000P?prdNo=4&amp;blockNo=4&amp;blockType=G4</t>
  </si>
  <si>
    <t>http://www.sears.com/samsung-7.2-cu-ft-electric-dryer/p-02666562000P?prdNo=5&amp;blockNo=5&amp;blockType=G5</t>
  </si>
  <si>
    <t>http://www.sears.com/samsung-7.5-cu-ft-front-load-electric-dryer/p-02686322000P?prdNo=6&amp;blockNo=6&amp;blockType=G6</t>
  </si>
  <si>
    <t>http://www.sears.com/samsung-7.4-cu-ft-electric-dryer-white/p-02666442000P?prdNo=8&amp;blockNo=8&amp;blockType=G8</t>
  </si>
  <si>
    <t>http://www.sears.com/samsung-7.4-cu-ft-electric-dryer-white/p-02666462000P?prdNo=9&amp;blockNo=9&amp;blockType=G9</t>
  </si>
  <si>
    <t>http://www.sears.com/samsung-7.5-cu-ft-front-load-electric-dryer/p-02686552000P?prdNo=10&amp;blockNo=10&amp;blockType=G10</t>
  </si>
  <si>
    <t>http://www.sears.com/samsung-9.5-cu-ft-electric-dryer-stainless-platinum/p-02666493000P?prdNo=11&amp;blockNo=11&amp;blockType=G11</t>
  </si>
  <si>
    <t>http://www.sears.com/samsung-9.5-cu-ft-front-load-electric-dryer/p-02686096000P?prdNo=12&amp;blockNo=12&amp;blockType=G12</t>
  </si>
  <si>
    <t>http://www.sears.com/samsung-7.4-cu-ft-electric-dryer-white/p-02666452000P?prdNo=13&amp;blockNo=13&amp;blockType=G13</t>
  </si>
  <si>
    <t>DV48H7400EP</t>
  </si>
  <si>
    <t>http://www.sears.com/samsung-7.4-cu-ft-top-load-electric-dryer/p-02666463000P?prdNo=14&amp;blockNo=14&amp;blockType=G14</t>
  </si>
  <si>
    <t>DV457EVGSGR</t>
  </si>
  <si>
    <t>http://www.sears.com/samsung-7.5-cu-ft-electric-dryer/p-02686996000P?prdNo=15&amp;blockNo=15&amp;blockType=G15</t>
  </si>
  <si>
    <t>DV455EVGSWR</t>
  </si>
  <si>
    <t>http://www.sears.com/samsung-7.5-cu-ft-electric-dryer/p-02686942000P?prdNo=16&amp;blockNo=16&amp;blockType=G16</t>
  </si>
  <si>
    <t>DV457EVGSWR</t>
  </si>
  <si>
    <t>http://www.sears.com/samsung-7.5-cu-ft-steam-electric-dryer-w-touch/p-02686992000P?prdNo=17&amp;blockNo=17&amp;blockType=G17</t>
  </si>
  <si>
    <t>DV422EWHDWR</t>
  </si>
  <si>
    <t>http://www.sears.com/samsung-7.2-cu-ft-electric-dryer/p-02666572000P?prdNo=18&amp;blockNo=18&amp;blockType=G18</t>
  </si>
  <si>
    <t>http://www.sears.com/maytag-7.0-cu-ft-centennial-reg-electric-dryer-w/p-02663452000P?prdNo=1&amp;blockNo=1&amp;blockType=G1</t>
  </si>
  <si>
    <t>http://www.sears.com/maytag-7.3-cu-ft-bravos-xl-reg-electric-dryer/p-02663842000P?prdNo=2&amp;blockNo=2&amp;blockType=G2</t>
  </si>
  <si>
    <t>http://www.sears.com/maytag-7.0-cu-ft-centennial-reg-electric-dryer-w/p-02663312000P?prdNo=3&amp;blockNo=3&amp;blockType=G3</t>
  </si>
  <si>
    <t>http://www.sears.com/maytag-7.3-cu-ft-bravos-xl-reg-electric-dryer/p-02663812000P?prdNo=4&amp;blockNo=4&amp;blockType=G4</t>
  </si>
  <si>
    <t>http://www.sears.com/maytag-7.3-cu-ft-bravos-xl-reg-electric-dryer/p-02663872000P?prdNo=5&amp;blockNo=5&amp;blockType=G5</t>
  </si>
  <si>
    <t>http://www.sears.com/maytag-7.4-cu-ft-maxima-174-electric-dryer-w/p-02683482000P?prdNo=6&amp;blockNo=6&amp;blockType=G6</t>
  </si>
  <si>
    <t>MED8100DC</t>
  </si>
  <si>
    <t>http://www.sears.com/maytag-7.4-cu-ft-maxima-174-electric-dryer-w/p-02683883000P?prdNo=7&amp;blockNo=7&amp;blockType=G7</t>
  </si>
  <si>
    <t>http://www.sears.com/maytag-7.3-cu-ft-bravos-xl-reg-electric-dryer/p-02663891000P?prdNo=8&amp;blockNo=8&amp;blockType=G8</t>
  </si>
  <si>
    <t>http://www.sears.com/maytag-7.4-cu-ft-maxima-174-electric-dryer-w/p-02683483000P?prdNo=9&amp;blockNo=9&amp;blockType=G9</t>
  </si>
  <si>
    <t>http://www.sears.com/maytag-7.3-cu-ft-bravos-xl-reg-electric-dryer/p-02663892000P?prdNo=10&amp;blockNo=10&amp;blockType=G10</t>
  </si>
  <si>
    <t>http://www.sears.com/maytag-7.4-cu-ft-maxima-174-electric-dryer-w/p-02683583000P?prdNo=11&amp;blockNo=11&amp;blockType=G11</t>
  </si>
  <si>
    <t>http://www.sears.com/maytag-7.4-cu-ft-maxima-174-electric-dryer-w/p-02683182000P?prdNo=12&amp;blockNo=12&amp;blockType=G12</t>
  </si>
  <si>
    <t>http://www.sears.com/maytag-7.4-cu-ft-maxima-174-electric-dryer-w/p-02683582000P?prdNo=13&amp;blockNo=13&amp;blockType=G13</t>
  </si>
  <si>
    <t>http://www.sears.com/maytag-7.0-cu-ft-bravos-x-trade-electric-dryer/p-02663462000P?prdNo=14&amp;blockNo=14&amp;blockType=G14</t>
  </si>
  <si>
    <t>http://www.sears.com/maytag-7.4-cu-ft-maxima-174-electric-dryer-w/p-02683882000P?prdNo=15&amp;blockNo=15&amp;blockType=G15</t>
  </si>
  <si>
    <t>http://www.sears.com/lg-9.0-cu-ft-mega-capacity-steam-electric/p-02685853000P?prdNo=1&amp;blockNo=1&amp;blockType=G1</t>
  </si>
  <si>
    <t>http://www.sears.com/lg-7.4-cu-ft-ultra-large-capacity-steamdryer-8482/p-02685573000P?prdNo=2&amp;blockNo=2&amp;blockType=G2</t>
  </si>
  <si>
    <t>http://www.sears.com/lg-7.3-cu-ft-electric-dryer-w-steamfresh-trade/p-02665532000P?prdNo=4&amp;blockNo=4&amp;blockType=G4</t>
  </si>
  <si>
    <t>http://www.sears.com/lg-7.3-cu-ft-electric-dryer-white/p-02665502000P?prdNo=5&amp;blockNo=5&amp;blockType=G5</t>
  </si>
  <si>
    <t>http://www.sears.com/lg-7.3-cu-ft-steam-electric-dryer-w/p-02665873000P?prdNo=6&amp;blockNo=6&amp;blockType=G6</t>
  </si>
  <si>
    <t>http://www.sears.com/lg-9.0-cu-ft-mega-capacity-dryer-w-steam-technology/p-02685863000P?prdNo=7&amp;blockNo=7&amp;blockType=G7</t>
  </si>
  <si>
    <t>http://www.sears.com/lg-7.3-cu-ft-steam-electric-dryer-w/p-02665872000P?prdNo=8&amp;blockNo=8&amp;blockType=G8</t>
  </si>
  <si>
    <t>http://www.sears.com/lg-7.3-cu-ft-electric-dryer-w-sensor/p-02685222000P?prdNo=9&amp;blockNo=9&amp;blockType=G9</t>
  </si>
  <si>
    <t>http://www.sears.com/lg-7.3-cu-ft-electric-dryer-w-steamsanitary-trade/p-02665803000P?prdNo=10&amp;blockNo=10&amp;blockType=G10</t>
  </si>
  <si>
    <t>http://www.sears.com/lg-7.3-cu-ft-electric-dryer-w-steamfresh-trade/p-02665533000P?prdNo=11&amp;blockNo=11&amp;blockType=G11</t>
  </si>
  <si>
    <t>http://www.sears.com/lg-7.3-cu-ft-electric-dryer-w-steamsanitary-trade/p-02665802000P?prdNo=12&amp;blockNo=12&amp;blockType=G12</t>
  </si>
  <si>
    <t>http://www.sears.com/lg-9.0-cu-ft-mega-capacity-steam-electric/p-02685852000P?prdNo=13&amp;blockNo=13&amp;blockType=G13</t>
  </si>
  <si>
    <t>http://www.sears.com/lg-7.3-cu-ft-ultra-large-he-dryer-w-sensor/p-02665472000P?prdNo=14&amp;blockNo=14&amp;blockType=G14</t>
  </si>
  <si>
    <t>DLE2250W</t>
  </si>
  <si>
    <t>http://www.sears.com/lg-7.1-cu-ft-extra-large-capacity/p-02685122000P?prdNo=15&amp;blockNo=15&amp;blockType=G15</t>
  </si>
  <si>
    <t>DLE4870W</t>
  </si>
  <si>
    <t>http://www.sears.com/lg-7.3-cu-ft-electric-dryer-white/p-02665572000P?prdNo=16&amp;blockNo=16&amp;blockType=G16</t>
  </si>
  <si>
    <t>http://www.sears.com/appliances-dryers-gas-dryers&amp;Kenmore_Whirlpool_GE_Samsung_LG_Maytag_Kenmore%20Elite/b-1101275?filter=Brand_Brand_Brand_Brand_Brand_Brand_Brand&amp;previousSort=ORIGINAL_SORT_ORDER&amp;viewItems=50&amp;viewType=list</t>
  </si>
  <si>
    <t>WGD97HEDW</t>
  </si>
  <si>
    <t>WGD98HEDC</t>
  </si>
  <si>
    <t>http://www.sears.com/appliances-dryers-gas-dryers&amp;Kenmore_Whirlpool_GE_Samsung_LG_Maytag_Kenmore%20Elite/b-1101275?filter=Brand_Brand_Brand_Brand_Brand_Brand_Brand&amp;previousSort=ORIGINAL_SORT_ORDER&amp;pageNum=2&amp;viewItems=50&amp;viewType=list</t>
  </si>
  <si>
    <t>WGD8100BW</t>
  </si>
  <si>
    <t>MGD8100DC</t>
  </si>
  <si>
    <t>MGD8100DW</t>
  </si>
  <si>
    <t>DLG2251W</t>
  </si>
  <si>
    <t>DV48H7400GP</t>
  </si>
  <si>
    <t>GTDS825GDMC</t>
  </si>
  <si>
    <t>WGD81HEDW</t>
  </si>
  <si>
    <t>DLG8501V</t>
  </si>
  <si>
    <t>MGD3100DW</t>
  </si>
  <si>
    <t>http://www.sears.com/appliances-dryers-gas-dryers&amp;Kenmore_Whirlpool_GE_Samsung_LG_Maytag_Kenmore%20Elite/b-1101275?filter=Brand_Brand_Brand_Brand_Brand_Brand_Brand&amp;previousSort=ORIGINAL_SORT_ORDER&amp;pageNum=3&amp;viewItems=50&amp;viewType=list</t>
  </si>
  <si>
    <t>GTDS850GDWW</t>
  </si>
  <si>
    <t>DV457GVGSGR</t>
  </si>
  <si>
    <t>DLG4871W</t>
  </si>
  <si>
    <t>DV455GVGSWR</t>
  </si>
  <si>
    <t>DV422GWHDWR</t>
  </si>
  <si>
    <t>DV457GVGSWR</t>
  </si>
  <si>
    <t>Average from top 6 manufacturers (GE, Kenmore (and Kenmore Elite), LG, Maytag, Samsung, Whirlpool)on top 3 websites (Sears, Lowes, Home Depot)</t>
  </si>
  <si>
    <t>Yes</t>
  </si>
  <si>
    <t>No</t>
  </si>
  <si>
    <t>WED99HED</t>
  </si>
  <si>
    <t>Vented Compact Electric -120V</t>
  </si>
  <si>
    <t>Ventled Compact Electric -240V</t>
  </si>
  <si>
    <t>Ventled Compact Electric -120V</t>
  </si>
  <si>
    <t>Technical Support Document: Chapter 7 Energy Use</t>
  </si>
  <si>
    <t>Research Into Action</t>
  </si>
  <si>
    <t>Residential Clothes Dryers: A Closer Look at Energy Efficiency Test Procedures and Savings Opportunities</t>
  </si>
  <si>
    <t>2014 Emerging Technology Award Winning Dryers</t>
  </si>
  <si>
    <t>LG's Heat Pump Gives Dryers Some Mych Needed Efficiency</t>
  </si>
  <si>
    <t>The Average Life of a Front-Loading Dryer</t>
  </si>
  <si>
    <t>ENERGYSTAR® Program Requirements Product Specification for Clothes Dryers</t>
  </si>
  <si>
    <t xml:space="preserve">Key MT Characteristics of Devices and Final Prioritization </t>
  </si>
  <si>
    <t>Vented Gas 3.48
Ventless or Vented Electric, Standard
(4.4 cu-ft or greater capacity) 3.93
Ventless or Vented Electric, Compact (120V)
(less than 4.4 cu-ft capacity) 3.80
Vented Electric, Compact (240V)
(less than 4.4 cu-ft capacity) 3.45
Ventless Electric, Compact (240V)
(less than 4.4 cu-ft capacity) 2.68
Cycle Time Requirement
Maximum Test Cycle Time 80 minutes</t>
  </si>
  <si>
    <t>http://www1.eere.energy.gov/buildings/appliance_standards/product.aspx/productid/36</t>
  </si>
  <si>
    <t>Other Sources</t>
  </si>
  <si>
    <t>www.sears.com</t>
  </si>
  <si>
    <t>www.lowes.com</t>
  </si>
  <si>
    <t>www.homedepot.com</t>
  </si>
  <si>
    <t xml:space="preserve">Sears </t>
  </si>
  <si>
    <t>Residential Clothes Dryers</t>
  </si>
  <si>
    <t>6 (For ES Models), 19</t>
  </si>
  <si>
    <t>Availability and Costs Tab (sources 19-21)</t>
  </si>
  <si>
    <t>19-21</t>
  </si>
  <si>
    <t>No available ES compact models</t>
  </si>
  <si>
    <t>5, 7, 11,12</t>
  </si>
  <si>
    <t>4.5 -7.6</t>
  </si>
  <si>
    <t>CEF (lb/kWh) 1994 Efficiency requirement/definition</t>
  </si>
  <si>
    <t>Models Available Online - Lowes</t>
  </si>
  <si>
    <t>Models Available Online- Home Depot</t>
  </si>
  <si>
    <t>Models Available Online- Sears</t>
  </si>
  <si>
    <t>Average Models Available online</t>
  </si>
  <si>
    <t>Heat Pump</t>
  </si>
  <si>
    <t># Models</t>
  </si>
  <si>
    <t>Vented Electric</t>
  </si>
  <si>
    <t>% that have a dryer - PG&amp;E</t>
  </si>
  <si>
    <t>% that have a dryer - SDG&amp;E</t>
  </si>
  <si>
    <t>% that have a dryer - SCE</t>
  </si>
  <si>
    <t>% that have a dryer - ALL</t>
  </si>
  <si>
    <t>https://websafe.kemainc.com/RASS2009/Query.aspx?QType=1&amp;tabid=1</t>
  </si>
  <si>
    <t>California</t>
  </si>
  <si>
    <t>UNK</t>
  </si>
  <si>
    <t>Standard Vented Electric</t>
  </si>
  <si>
    <t>Compact Vented Electric (120V)</t>
  </si>
  <si>
    <t>Compact Vented Electric (240V)</t>
  </si>
  <si>
    <t>Market Data Summary</t>
  </si>
  <si>
    <t>Market Penetration</t>
  </si>
  <si>
    <t>Unit Energy Savings (kWh)</t>
  </si>
  <si>
    <t>Programs Incenting Measure</t>
  </si>
  <si>
    <t>Non-Energy Benefits</t>
  </si>
  <si>
    <t>Barriers to Adoption</t>
  </si>
  <si>
    <t>Clothes Dryer Measure</t>
  </si>
  <si>
    <t>User Notes:</t>
  </si>
  <si>
    <t>Data</t>
  </si>
  <si>
    <t>cells link to data tab location</t>
  </si>
  <si>
    <t>Number of Models Available</t>
  </si>
  <si>
    <t>Codes and Specs</t>
  </si>
  <si>
    <t>Compact Ventless Electric (240V)</t>
  </si>
  <si>
    <t>Energy Factor: # of pounds of clothes dried per kWh of power consumed</t>
  </si>
  <si>
    <t>Product Class Energy Factor (pounds/kWh)
Manufactured On or After May 14, 1994:
1. Electric, Standard (4.4 ft3 or greater capacity) 3.01
2. Electric, Compact (120V) (less than 4.4 ft3 capacity) 3.13
3. Electric, Compact (240V) (less than 4.4 ft3 capacity) 2.90
4. Gas 2.67</t>
  </si>
  <si>
    <t>Short dry time</t>
  </si>
  <si>
    <t>Short dry time, saves space</t>
  </si>
  <si>
    <t>Compact Electric</t>
  </si>
  <si>
    <t>Standard  Electric</t>
  </si>
  <si>
    <t>Manufacturers: LG, Whirlpool</t>
  </si>
  <si>
    <t>Manufacturers: Kenmore, LG, Maytag, SafeMate, Whirlpool</t>
  </si>
  <si>
    <t>High first cost compared to standard dryers, lack of awareness and familiarily</t>
  </si>
  <si>
    <t>Convenience: sensor drying, steam features</t>
  </si>
  <si>
    <t>Saves space, Convenience: sensor drying, steam features</t>
  </si>
  <si>
    <t>Manufacturers: Kenmore, LG, Maytag, Safemate, Whirlpool</t>
  </si>
  <si>
    <t>Southwest Gas (must have moisture sensor)</t>
  </si>
  <si>
    <t>Convenience: Shorter drying times</t>
  </si>
  <si>
    <t>Convenience: Shorter drying times, Saves space</t>
  </si>
  <si>
    <t>http://www.energystar.gov/rebate-finder?scrollTo=0&amp;search_text=&amp;sort_by=utility&amp;sort_direction=asc&amp;zip_code_filter=&amp;product_clean_filter=Clothes+Dryers&amp;product_clean_isopen=&amp;page_number=0&amp;lastpage=0</t>
  </si>
  <si>
    <t>16, 23</t>
  </si>
  <si>
    <t>Market failures</t>
  </si>
  <si>
    <t>Market actors</t>
  </si>
  <si>
    <t>Major programs targeting measure</t>
  </si>
  <si>
    <t>Barriers to adoption</t>
  </si>
  <si>
    <t>Technology trends</t>
  </si>
  <si>
    <t>Non-Energy benefits and impacts</t>
  </si>
  <si>
    <t>Measure Description</t>
  </si>
  <si>
    <t>PG&amp;E</t>
  </si>
  <si>
    <t>SDG&amp;E</t>
  </si>
  <si>
    <t>SCE</t>
  </si>
  <si>
    <t>Energy Use (kWh)</t>
  </si>
  <si>
    <t>Energy Star - Standard  Electric</t>
  </si>
  <si>
    <t>Energy Star - Standard Gas</t>
  </si>
  <si>
    <t>Capacity</t>
  </si>
  <si>
    <t>5 (For ES Models),  19-21</t>
  </si>
  <si>
    <t>https://websafe.kemainc.com/susc/CPUC_CLASS_2012/SUSc_CPUC_CLASS_2012.aspx</t>
  </si>
  <si>
    <t>IOU</t>
  </si>
  <si>
    <t>Barriers and Benefits</t>
  </si>
  <si>
    <t>Non- energy benefits</t>
  </si>
  <si>
    <t xml:space="preserve"> </t>
  </si>
  <si>
    <t>16, 23, 25</t>
  </si>
  <si>
    <t>Energy Star rebate finder</t>
  </si>
  <si>
    <t>Compact Electric (120V)</t>
  </si>
  <si>
    <t>Compact Electric (240V)</t>
  </si>
  <si>
    <t>Energy Star - Compact Ventless Electric (240V)</t>
  </si>
  <si>
    <t>1, 8, 13</t>
  </si>
  <si>
    <t>Current Market</t>
  </si>
  <si>
    <t>Models Available at top stores</t>
  </si>
  <si>
    <t>http://www.clasponline.org/en/Resources/Resources/PublicationLibrary/2013/Clothes-Dryer-Heat-Pump-Technology-Offers-Substantial-Cost-and-Energy-Savings-for-North-America.aspx</t>
  </si>
  <si>
    <t>Dryer Buying Guides</t>
  </si>
  <si>
    <t>Convenience: Shorter drying times (one study reported faster drying times than electric dryers)</t>
  </si>
  <si>
    <t>Convenience: sensor drying, steam feature, shorter drying times (one study reported faster drying times than electric dryers)</t>
  </si>
  <si>
    <t>5-7, 19-21</t>
  </si>
  <si>
    <t>Manufacturers: Kenmore, GE, LG, Whirlpool, Samsung, Maytag, Electrolux, Frigidaire, Bosch, Hotpoint, Admiral, Amana, Ariston, Haier, Magic Chef, Fisher and Paykel</t>
  </si>
  <si>
    <t>Kenmore, GE, Whirlpool, Bosch</t>
  </si>
  <si>
    <t xml:space="preserve">Kenmore, GE, LG, Whirlpool, Samsung, Maytag, Electrolux, Frigidaire, Hotpoint, Admiral, Amana, </t>
  </si>
  <si>
    <t>Manufacturers: LG , Whirlpool</t>
  </si>
  <si>
    <t>Technology to Target</t>
  </si>
  <si>
    <t>Key Trends</t>
  </si>
  <si>
    <t xml:space="preserve"> -Insulation Improves Efficiency by 2 to 6 Percent Over Conventional Dryers
 -Air-To-Air Heat Exchanger Improves Efficiency by Up to 26 Percent 
 -Modulating Heater Power and Airflow Improves Efficiency by 10 Percent 
 -Slow Drying
-Larger capacity
- Smart technology</t>
  </si>
  <si>
    <t xml:space="preserve">22,3 </t>
  </si>
  <si>
    <t>Clothes Dryer Workbook</t>
  </si>
  <si>
    <t>% that have a dryer - SCG</t>
  </si>
  <si>
    <t>SCG</t>
  </si>
  <si>
    <t>Electric IOUs</t>
  </si>
  <si>
    <t>for CEF = 3.49, which exceeds minimum ESTAR standard.</t>
  </si>
  <si>
    <t>no qualifying models yet</t>
  </si>
  <si>
    <t>ECOVA</t>
  </si>
  <si>
    <t>UEC/UES Notes</t>
  </si>
  <si>
    <t>Average from top 6 manufacturers (GE, Kenmore (and Kenmore Elite), LG, Maytag, Samsung, Whirlpool)on top 3 websites (Sears, Lowes, Home Depot).</t>
  </si>
  <si>
    <t>Average from top 6 manufacturers (GE, Kenmore (and Kenmore Elite), LG, Maytag, Samsung, Whirlpool) on top 3 websites (Sears, Lowes, Home Depot)</t>
  </si>
  <si>
    <t>CEF (lb/kWh) 2015 Efficiency requirement/definition</t>
  </si>
  <si>
    <t>Note that for compact measures, annual usage estimate assumes fewer pounds of clothes dried overall, per DOE test specification and 283 cycles per year.</t>
  </si>
  <si>
    <t>Energy Use (Therms)</t>
  </si>
  <si>
    <t>Unit Energy Savings (Therms)</t>
  </si>
  <si>
    <t>*kWh for gas includes therms</t>
  </si>
  <si>
    <t>5,7</t>
  </si>
  <si>
    <t>Standard Electric*</t>
  </si>
  <si>
    <t>CALMAC</t>
  </si>
  <si>
    <t xml:space="preserve">DNV GL </t>
  </si>
  <si>
    <t>DNV GL</t>
  </si>
  <si>
    <t>California Lighting and Appliance Saturation Study (CLASS)</t>
  </si>
  <si>
    <t>ENERGY STAR V1.0</t>
  </si>
  <si>
    <t>None</t>
  </si>
  <si>
    <t>Convenience: Shorter drying times, Saves space, can be plugged into a standard 120V Outlet</t>
  </si>
  <si>
    <t>Sources of savings uncertainty</t>
  </si>
  <si>
    <t>Measure                                                                                                                            Source #</t>
  </si>
  <si>
    <t>Key trends</t>
  </si>
  <si>
    <t>Barriers to consumer adoption</t>
  </si>
  <si>
    <t>Units have been available in Europe for over a decade but not in US. DOE standards may classify European units as "compact", despite similar capacity, which affects test procedure and savings estimates.</t>
  </si>
  <si>
    <t>Awareness: 92% of CA residents know that some clothes dryers are more efficeint than others. 
Development of ENERGY STAR Specification is still new
True heat pump dryers are not available in the US (as of 2012) but represent 4% of the Eurpoean market
Hybrid heat pump dryers are entering US market.</t>
  </si>
  <si>
    <t>The current test procedure may not completely capture efficiency potential. The test clothes specified by both the 2005 and the 2011 DOE test procedures consist of thin 50/50 cotton/synthetic, two-dimensional sheets (similar to handkerchiefs). A realistic test procedure that employed a mix of real clothing over a range of operating
conditions would increase product differentiation.
Ventless and heat pump devices may have space conditioning interactive effects.
Customer behavior: use of eco modes.</t>
  </si>
  <si>
    <t>% that have a dryer - ALL IOUs</t>
  </si>
  <si>
    <t xml:space="preserve">DOE Annual UEC kWh </t>
  </si>
  <si>
    <t>ECOVA Annual UEC kWh</t>
  </si>
  <si>
    <t>DOE  Annual UEC therms</t>
  </si>
  <si>
    <t>Availability
Longer drying times (heat pump dryers can take 2-2.5x as long to dry)
Consumers skeptical of claims of energy savings
High incremental cost
If installed in a home’s conditioned space, waste heat can be a drawback on hot days</t>
  </si>
  <si>
    <t xml:space="preserve">ENERGY STAR - Compact Vented Electric  </t>
  </si>
  <si>
    <t>ENERGY STAR- Compact Ventless Electric</t>
  </si>
  <si>
    <t>ENERGY STAR - Standard Gas</t>
  </si>
  <si>
    <t>ENERGY STAR UES kWh</t>
  </si>
  <si>
    <t>DOE UES (kWh)</t>
  </si>
  <si>
    <t>DOE UES (therms)</t>
  </si>
  <si>
    <t>ECOVA UES kWh</t>
  </si>
  <si>
    <r>
      <t xml:space="preserve">ENERGY STAR UEC </t>
    </r>
    <r>
      <rPr>
        <b/>
        <sz val="8"/>
        <color theme="1"/>
        <rFont val="Calibri"/>
        <family val="2"/>
        <scheme val="minor"/>
      </rPr>
      <t>(Unit Energy Consumption)</t>
    </r>
    <r>
      <rPr>
        <b/>
        <sz val="10"/>
        <color theme="1"/>
        <rFont val="Calibri"/>
        <family val="2"/>
        <scheme val="minor"/>
      </rPr>
      <t xml:space="preserve"> kWh </t>
    </r>
  </si>
  <si>
    <t>ECOVA savings based on ECOVA baseline, not federal baseline.</t>
  </si>
  <si>
    <t>ENERGY SAVINGS</t>
  </si>
  <si>
    <t>READ ME</t>
  </si>
  <si>
    <t>Summary</t>
  </si>
  <si>
    <t>Measure Quantitative Data
Measure Qualitative Data
Codes and Specs Data
Source Info</t>
  </si>
  <si>
    <t>Overview of key data points</t>
  </si>
  <si>
    <t>Heat Pump*</t>
  </si>
  <si>
    <t>Improved sensors/controls</t>
  </si>
  <si>
    <t>Saves space, improved sensors/controls</t>
  </si>
  <si>
    <t>Improved sensors/controls, troubleshooting technology</t>
  </si>
  <si>
    <t>Availability, longer drying times, consumer skepticism, cost, retail/manufacturer uncertainty for demand (reluctance to stock)</t>
  </si>
  <si>
    <t>*2007 National Estimate</t>
  </si>
  <si>
    <t>19-21, 25</t>
  </si>
  <si>
    <t>Average from 3 types of 'nonsemi professional' European heat pump dryers</t>
  </si>
  <si>
    <t>DOE 2015 (Current Standard)</t>
  </si>
  <si>
    <t>http://energy.gov/sites/prod/files/2015/03/f20/Clothes%20Dryer%20Standards_RFI.pdf</t>
  </si>
  <si>
    <t>Energy Conservation Standards for Residential Clothes Dryers</t>
  </si>
  <si>
    <t>DOE 1994*</t>
  </si>
  <si>
    <t>ENERGY STAR 2015**</t>
  </si>
  <si>
    <t>* Value is actually Energy Factor, not combined energy factor, which does not account for standby mode
** These standards were calculated using the D2 test procudure versus D1 test procedure</t>
  </si>
  <si>
    <t>DOE 2015 (Proposed Baseline Based on updated Test Procedure)**</t>
  </si>
  <si>
    <t>Saves space, improved sensors/controls, no vent (avoids air loss, allows flexibility in location, no construction needed for vent placement)</t>
  </si>
  <si>
    <t>5,16, 22, 25</t>
  </si>
  <si>
    <t>Convenience: Shorter drying times, Saves space, doesn’t require vent  (avoids air loss, allows flexibility in location, no construction needed for vent placement)</t>
  </si>
  <si>
    <t>Saves space, Convenience: sensor drying, steam features, no vent (avoids air loss, allows flexibility in location, no construction needed for vent placement)</t>
  </si>
  <si>
    <t>Models</t>
  </si>
  <si>
    <t xml:space="preserve">V1.0 </t>
  </si>
  <si>
    <t>Remaining Research Questions</t>
  </si>
  <si>
    <t>- What are the California energy benefits and customer attitudes around ventless versus vented dryers?</t>
  </si>
  <si>
    <t>ENERGY STAR product finder</t>
  </si>
  <si>
    <t>A cabinet-like appliance designed to dry fabrics in a tumble-type drum with forced air circulation. The heat source is gas and the drum and blower(s) are driven by an electric motor(s).</t>
  </si>
  <si>
    <t>Lower air temp increases clothing life, no vent (avoids air loss, flexible placement, lower installed cost)</t>
  </si>
  <si>
    <t xml:space="preserve"> -Awareness: 92% of CA residents know that some clothes dryers are more efficeint than others. 
 -Development of ENERGY STAR spec
 -Hybrid heat pump dryers are becoming available in the US and represent about 4% of the European market</t>
  </si>
  <si>
    <t>DOE test procedure D1 interpolated estimates (not comparable with ENERGY STAR D2 estimates)</t>
  </si>
  <si>
    <t>DOE test procedure D2</t>
  </si>
  <si>
    <t>A cabinet-like appliance designed to dry fabrics in a tumble-type drum with forced air circulation. The heat source is electricity and the drum and blower(s) are driven by an electric motor(s). Exhausts the evaporated moisture from the cabinet. May also use a heat pump for drying. CEF &gt;= 3.93</t>
  </si>
  <si>
    <t>Convenience: sensor drying, steam features, enhanced troubleshooting sensors. One award winner is ventless. If the dryer is installed in a home’s conditioned space, waste heat may be a benefit or issue.</t>
  </si>
  <si>
    <t>Ventless. If the dryer is installed in a home’s conditioned space, waste heat can be a benefit or issue. Heat pump dryers have longer drying times. Lower heat associated with less wear and tear on clothes.  No vent (avoids air loss, allows flexibility in location, no construction needed for vent placement)</t>
  </si>
  <si>
    <t xml:space="preserve">A cabinet-like appliance designed to dry fabrics in a tumble-type drum with forced air circulation. The heat source is electricity and the drum and blower(s) are driven by an electric motor(s). Vents the evaporated moisture and heat outdoors.
</t>
  </si>
  <si>
    <t>A cabinet-like appliance designed to dry fabrics in a tumble-type drum with forced air circulation. The heat source is gas and the drum and blower(s) are driven by an electric motor(s). CEF&gt;= 3.48</t>
  </si>
  <si>
    <t>Optional, Jan 2015</t>
  </si>
  <si>
    <t>ENERGY STAR 2014 ET Heat Pump Hybrid</t>
  </si>
  <si>
    <t>Heat Pump (International)</t>
  </si>
  <si>
    <t>Report Year: 2009</t>
  </si>
  <si>
    <t>Report View: Electric Utility</t>
  </si>
  <si>
    <t>Survey Section: Administrative</t>
  </si>
  <si>
    <t>Survey Question: Gas utility</t>
  </si>
  <si>
    <t>Report Detail: Weighted, Include No Response, Include Not-Applicable</t>
  </si>
  <si>
    <t xml:space="preserve">Filtered By: </t>
  </si>
  <si>
    <t>The query returns 25,721 records, representing 11,523,719 Population. * Results represent a sample of fewer than 25 households.</t>
  </si>
  <si>
    <t>Survey Question : Gas utility</t>
  </si>
  <si>
    <t>Electric Utility</t>
  </si>
  <si>
    <t>Gas Utility</t>
  </si>
  <si>
    <t>So Cal Gas</t>
  </si>
  <si>
    <t>SW GAS</t>
  </si>
  <si>
    <t>LONG BEACH GAS DEPT</t>
  </si>
  <si>
    <t>NOT APPLICABLE</t>
  </si>
  <si>
    <t>Total</t>
  </si>
  <si>
    <t>(LADWP removed)</t>
  </si>
  <si>
    <t>Not Sure/No Response</t>
  </si>
  <si>
    <t>RASS Saturation Report</t>
  </si>
  <si>
    <t>Household Service Type</t>
  </si>
  <si>
    <t>Dual Fuel *</t>
  </si>
  <si>
    <t>82 - 84%</t>
  </si>
  <si>
    <t>16 - 18%</t>
  </si>
  <si>
    <t>Electric Only**</t>
  </si>
  <si>
    <t>82 - 83%</t>
  </si>
  <si>
    <t>82 - 93%</t>
  </si>
  <si>
    <t>17 - 18%</t>
  </si>
  <si>
    <t>7 - 18%</t>
  </si>
  <si>
    <t>http://cltc.ucdavis.edu/sites/default/files/files/publication/2011_lbnl_max_tech_beyond.pdf</t>
  </si>
  <si>
    <t>LBNL</t>
  </si>
  <si>
    <t>7, 15, 25, 35</t>
  </si>
  <si>
    <t>In a heat pump dryer, the air typically moves in a closed loop. The heat-dissipating (condenser) side of the heat pump heats the air. The hot air is blown through the drum, where it evaporates water from the clothes. The air cools somewhat and its humidity increases. Then the air passes the heat-extracting (evaporator) side of the heat pump, where the air is cooled further so the moisture condenses out. The air can then be recycled and heated again. Either the condensed moisture is collected in a separate container, or the dryer is connected to a drain pipe.</t>
  </si>
  <si>
    <r>
      <rPr>
        <b/>
        <sz val="10"/>
        <color theme="1"/>
        <rFont val="Calibri"/>
        <family val="2"/>
        <scheme val="minor"/>
      </rPr>
      <t>PSEG Long Island</t>
    </r>
    <r>
      <rPr>
        <sz val="10"/>
        <color theme="1"/>
        <rFont val="Calibri"/>
        <family val="2"/>
        <scheme val="minor"/>
      </rPr>
      <t xml:space="preserve">: PSEG Long Island offers $150 on a Super-Efficient dryer with the 2013 ETA specifications
</t>
    </r>
    <r>
      <rPr>
        <b/>
        <sz val="10"/>
        <color theme="1"/>
        <rFont val="Calibri"/>
        <family val="2"/>
        <scheme val="minor"/>
      </rPr>
      <t>Burlington Electric Department</t>
    </r>
    <r>
      <rPr>
        <sz val="10"/>
        <color theme="1"/>
        <rFont val="Calibri"/>
        <family val="2"/>
        <scheme val="minor"/>
      </rPr>
      <t xml:space="preserve">: offers $400 rebate for ENERGY STAR ET Award winning dryers
</t>
    </r>
    <r>
      <rPr>
        <b/>
        <sz val="10"/>
        <color theme="1"/>
        <rFont val="Calibri"/>
        <family val="2"/>
        <scheme val="minor"/>
      </rPr>
      <t>DC Sustainable Energy Utility</t>
    </r>
    <r>
      <rPr>
        <sz val="10"/>
        <color theme="1"/>
        <rFont val="Calibri"/>
        <family val="2"/>
        <scheme val="minor"/>
      </rPr>
      <t xml:space="preserve">: offers $400 rebate for ENERGY STAR ET Award winning dryers
Efficiency Vermont: offers $400 rebate for electric ENERGY STAR ET Award winning dryers
</t>
    </r>
    <r>
      <rPr>
        <b/>
        <sz val="10"/>
        <color theme="1"/>
        <rFont val="Calibri"/>
        <family val="2"/>
        <scheme val="minor"/>
      </rPr>
      <t>New Jersey's Clean Energy Program</t>
    </r>
    <r>
      <rPr>
        <sz val="10"/>
        <color theme="1"/>
        <rFont val="Calibri"/>
        <family val="2"/>
        <scheme val="minor"/>
      </rPr>
      <t xml:space="preserve">: Offers $300 for purchas on an ENERGY STAR 2014 ET Award winning dryer
</t>
    </r>
    <r>
      <rPr>
        <b/>
        <sz val="10"/>
        <color theme="1"/>
        <rFont val="Calibri"/>
        <family val="2"/>
        <scheme val="minor"/>
      </rPr>
      <t>SMUD</t>
    </r>
    <r>
      <rPr>
        <sz val="10"/>
        <color theme="1"/>
        <rFont val="Calibri"/>
        <family val="2"/>
        <scheme val="minor"/>
      </rPr>
      <t xml:space="preserve">: Offers $300 for purchas on an electric ENERGY STAR 2013 ET Award winning dryer
</t>
    </r>
    <r>
      <rPr>
        <b/>
        <sz val="10"/>
        <color theme="1"/>
        <rFont val="Calibri"/>
        <family val="2"/>
        <scheme val="minor"/>
      </rPr>
      <t>Silicon Valley Power, City of Santa Clara, CA</t>
    </r>
    <r>
      <rPr>
        <sz val="10"/>
        <color theme="1"/>
        <rFont val="Calibri"/>
        <family val="2"/>
        <scheme val="minor"/>
      </rPr>
      <t>: offers $100 rebate for ENERGY STAR ET Award winning dryers</t>
    </r>
  </si>
  <si>
    <t>Alexandra Light &amp; Power, Bagley Public Utilities, BGE, Barnesville Municipal Power, Baudette Municipal Utilities, Beltrami Electri Cooperative, Blooming Prairie Public Utilities*, Burlington Electric Department, Clearwater-Polk Electric Cooperative, DC Sustainable Energy Utility, Delmarva Power, Efficiency Vermont**, Fairmont Public Utilities*, Fosston Municipal Utilities, Halstad Municipal Utilities, Hawley Municipal Utilties, Indiana Michigan Power Company, Lake City Utilities*, Litchfield Public Utilties*, Missouri River Energy Services, Mora Municipal Utilties, New Jersey's Clean Energy Program, New Prague Utilties Commission*,North Branch Municipal Water and Light*, North Star Electric Cooperative, PKM Electric Cooperative, PSEG**, FirstEnergy Utility, Pepco, Preston Public Utilities*, Princeton Public Utilities Commission*, Red Lake Electric Cooperative, Red River Valley Cooperative Power Association, Redwood Falls Public Utilties*, Roseau Electric Cooperative, Roseau Municipal Utilties, SEMCO ENERGY Gas Company, Saint Peter Municipal Utilties*, SMECO, SMMPA, Spring Valley Public Utilties*, Stepehen (City of) Municipal Utilites, Thief River Falls Municipal Utilties, Warrren Municipal Utilties, Waseca Utilities*, Wells Public Utilities*, Wild Rice Electric Cooperative
*Offers lower incentive for ES Gas Dryers
** Only for electric ES Dryers</t>
  </si>
  <si>
    <t xml:space="preserve">Alexandra Light &amp; Power, Bagley Public Utilities, BGE, Barnesville Municipal Power, Baudette Municipal Utilities, Beltrami Electri Cooperative, Blooming Prairie Public Utilities*, Burlington Electric Department, Clearwater-Polk Electric Cooperative, DC Sustainable Energy Utility, Fairmont Public Utilities*, Fosston Municipal Utilities, Halstad Municipal Utilities, Hawley Municipal Utilties, Indiana Michigan Power Company, Lake City Utilities*, Litchfield Public Utilties*, Missouri River Energy Services, Mora Municipal Utilties, New Jersey's Clean Energy Program, New Prague Utilties Commission*,North Branch Municipal Water and Light*, North Star Electric Cooperative, PKM Electric, FirstEnergy Utility, Pepco, Preston Public Utilities*, Princeton Public Utilities Commission*, Red Lake Electric Cooperative, Red River Valley Cooperative Power Association, Redwood Falls Public Utilties*, Roseau Electric Cooperative, Roseau Municipal Utilties, SEMCO ENERGY Gas Company, Saint Peter Municipal Utilties*, SMECO, SMMPA, Spring Valley Public Utilties*, Stepehen (City of) Municipal Utilites, Thief River Falls Municipal Utilties, Warrren Municipal Utilties, Waseca Utilities*, Wells Public Utilities*, Wild Rice Electric Cooperative
*Offers lower incentive for ES Gas Dryers
</t>
  </si>
  <si>
    <t>ENERGY STAR UES Mbtu/year</t>
  </si>
  <si>
    <t>ENERGY STAR UEC Mbtu/year</t>
  </si>
  <si>
    <t>Energy Use (MBtu)</t>
  </si>
  <si>
    <t>Unit Energy Savings (MBtu)</t>
  </si>
  <si>
    <t>Ventless Compact Electric (240V)</t>
  </si>
  <si>
    <t>Average from 2 2014 ET Winners</t>
  </si>
  <si>
    <t>* Receives gas from any utility, including IOUs and municipals
** No gas on premise
Percentages are provided in ranges to incorporate repondents that were unsure or did not provide an answer</t>
  </si>
  <si>
    <t>California Statewide Residential Appliance Saturation Study (RASS)</t>
  </si>
  <si>
    <t>Barriers &amp; Benefits</t>
  </si>
  <si>
    <t xml:space="preserve">ENERGY STAR 2014 Emerging Technology Award Winners. Both dryers use heat pump hybrid designs, using a heat pump (see below) and a traditional electric heating element. Both vented and ventless models, both with advanced sensor technologies. </t>
  </si>
  <si>
    <t xml:space="preserve">The absence of a realistic test procedure was a key market transformation barrier to establishing performance labeling, ENERGY STAR® designation, aligning the support of utility programs, increasing consumer awareness, and encouraging manufacturer introduction of efficient clothes dryers into the North American market. The final rule that is now in effect and amended  testing procedures may overcome these issues, but the test procedure ENERGY STAR uses (D2) is optional, and federal requirements use the D1 test procedure.
</t>
  </si>
  <si>
    <t xml:space="preserve"> - Hybrid heat pump dryers
 - Higher-efficiency non-condensing vented         electric  &amp; gas dryers</t>
  </si>
  <si>
    <t>Cost, consumer awareness, product availability</t>
  </si>
  <si>
    <t>Cost, consumer awareness, availability</t>
  </si>
  <si>
    <t>kWh</t>
  </si>
  <si>
    <t>Mbtu</t>
  </si>
  <si>
    <t>MBtu</t>
  </si>
  <si>
    <t>Unit Energy Consumption
(ENERGY STAR)</t>
  </si>
  <si>
    <t>Unit Energy Savings
(ENERGY STAR)</t>
  </si>
  <si>
    <t>ENERGY STAR Draft 2 Version 1.0 Clothes Dryer Data and Analysis</t>
  </si>
  <si>
    <t>https://www.energystar.gov/sites/default/files/specs//ENERGY%20STAR%20Draft%202%20Version%201.0%20Clothes%20Dryers%20Data%20and%20Analysis.xlsx</t>
  </si>
  <si>
    <t>36,7</t>
  </si>
  <si>
    <t>Energy Star - Compact Electric  (120V)</t>
  </si>
  <si>
    <t>Energy Star - Compact Vented Electric (240V)</t>
  </si>
  <si>
    <t xml:space="preserve">A cabinet-like appliance designed to dry fabrics in a tumble-type drum with forced air circulation. The heat source is electricity and the drum and blower(s) are driven by an electric motor(s). Vented models exhaust the evaporated moisture from the cabinet.Ventless models use a closed-loop system with an internal condenser to remove the evaporated moisture from the heated air. Moist air is not discharged from the cabinet. With a drum capacity of less than 4.4 cubic feet.
</t>
  </si>
  <si>
    <t xml:space="preserve">A cabinet-like appliance designed to dry fabrics in a tumble-type drum with forced air circulation. The heat source is electricity and the drum and blower(s) are driven by an electric motor(s). Vented models exhaust the evaporated moisture from the cabinet.Ventless models use a closed-loop system with an internal condenser to remove the evaporated moisture from the heated air. Moist air is not discharged from the cabinet. With a drum capacity of less than 4.4 cubic feet and 120V CEF&gt;=3.8 or 240V Vented CEF&gt;= 3.45, 240V Ventless CEF &gt;=2.68
</t>
  </si>
  <si>
    <t>Amended Energy Conservation Standards for Vented and Ventless Residential Clothes Dryers
Product Class Energy Factor (pounds/kWh)
Manufactured or Distributed into Commerce On or After Jan 1, 2015
1. Vented Electric, Standard (4.4 ft3 or greater capacity) 3.73
2. Vented Electric, Compact (120V) (less than 4.4 ft3 capacity) 3.61
3. Vented Electric, Compact (240V) (less than 4.4 ft3 capacity) 3.27
4. Vented Gas 3.30
5. Ventless Electric, Compact (240V) (less than 4.4 ft3 capacity) 2.55
6. Ventless Electric Combination Washer/Dryer 2.08</t>
  </si>
  <si>
    <t>Proposed Baseline CEF (Appendix D2) lb/kWh
1. Vented Electric, Standard (4.4 ft3 or greater capacity) 3.11
2. Vented Electric, Compact (120V) (less than 4.4 ft3 capacity) 3.03
3. Vented Electric, Compact (240V) (less than 4.4 ft3 capacity) 1.9
4. Vented Gas 2.77
5. Ventless Electric, Compact (240V) (less than 4.4 ft3 capacity) 2.33
6. Ventless Electric Combination Washer/Dryer 2.00</t>
  </si>
  <si>
    <t>Tab Overview</t>
  </si>
  <si>
    <t>Data table of all quantitative data
Data table of all qualitative data
Past and current specifications
Numbered source Information</t>
  </si>
  <si>
    <t>*True Heat Pump dryers (those without an electric element) are currently unavailable in the US. Note that current European Heat Pump models may actually be classified as compact electric.</t>
  </si>
  <si>
    <t>NEEA Measure Definition</t>
  </si>
  <si>
    <t>NEEA and PG&amp;E UCEF Supplemental Test Protocol</t>
  </si>
  <si>
    <t>NEEA Vented UES kWh</t>
  </si>
  <si>
    <t>NEEA Ventless UES kWh</t>
  </si>
  <si>
    <t>UCEF Baseline = 2.8 (Assumes efficient washer)</t>
  </si>
  <si>
    <t xml:space="preserve">NEEA Vented and Ventless UEC kWh </t>
  </si>
  <si>
    <t>NEEA and PG&amp;E</t>
  </si>
  <si>
    <t>http://rtf.nwcouncil.org/meetings/2015/04/Residential%20Dryers%20v06.xlsm</t>
  </si>
  <si>
    <t>NEEA and PG&amp;E UCEF Supplemental Test Protocol (4 ft3 +) NB: Savings account for heating effects, measure equivalences are approximate</t>
  </si>
  <si>
    <t>NEEA and PG&amp;E UCEF Supplemental Test Protocol (4 ft3 or greater) - NB: measure definition equivalences are approximate</t>
  </si>
  <si>
    <t>291-399</t>
  </si>
  <si>
    <t>UCEF Baseline 5 to 5.99, 6 to 6.99, 7-7.99 (performance is 5.5+)</t>
  </si>
  <si>
    <t>376-484</t>
  </si>
  <si>
    <t>411-513</t>
  </si>
  <si>
    <t>UCEF Baseline = 3 to 3.39 (Conservative estimate, minimum ESTAR qualifying - resistance heating only, no heat pump hybrid)</t>
  </si>
  <si>
    <r>
      <t xml:space="preserve">PG&amp;E Program Manager: Julie Colvin
PG&amp;E Product Manager: David Bates
Designed by: Research Into Action
</t>
    </r>
    <r>
      <rPr>
        <sz val="9"/>
        <rFont val="Arial"/>
        <family val="2"/>
      </rPr>
      <t xml:space="preserve">This workbook is designed  to inform the California Statewide PLA team's Clothes Dryer program planning. The tool aggregates clothes dryer measure market data from a variety of sources. Measures were defined consistent with DOE and ENERGY STAR® definitions.
</t>
    </r>
    <r>
      <rPr>
        <b/>
        <sz val="9"/>
        <rFont val="Arial"/>
        <family val="2"/>
      </rPr>
      <t xml:space="preserve">Intended use: </t>
    </r>
    <r>
      <rPr>
        <sz val="9"/>
        <rFont val="Arial"/>
        <family val="2"/>
      </rPr>
      <t xml:space="preserve">These data are intended to provide a starting point in program planning; they are not intended to inform forecasting or reporting. The applicable year, territory, and source have been tracked for each data point collected. Consult these sources for specific questions on data interpretation.
</t>
    </r>
  </si>
  <si>
    <t>UCEF = 3.4 to 4 (current market. Eventual performance may be up to 5.5)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</si>
</sst>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67"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b/>
      <sz val="13"/>
      <color theme="3"/>
      <name val="Calibri"/>
      <family val="2"/>
      <scheme val="minor"/>
    </font>
    <font>
      <u/>
      <sz val="11"/>
      <color theme="10"/>
      <name val="Calibri"/>
      <family val="2"/>
      <scheme val="minor"/>
    </font>
    <font>
      <b/>
      <sz val="11"/>
      <color theme="1"/>
      <name val="Calibri"/>
      <family val="2"/>
    </font>
    <font>
      <sz val="9"/>
      <name val="Calibri"/>
      <family val="2"/>
      <scheme val="minor"/>
    </font>
    <font>
      <sz val="10"/>
      <color theme="1" tint="0.24994659260841701"/>
      <name val="Arial"/>
      <family val="2"/>
    </font>
    <font>
      <sz val="10"/>
      <color rgb="FFFF0000"/>
      <name val="Calibri"/>
      <family val="2"/>
      <scheme val="minor"/>
    </font>
    <font>
      <sz val="11"/>
      <color rgb="FFFF0000"/>
      <name val="Calibri"/>
      <family val="2"/>
      <scheme val="minor"/>
    </font>
    <font>
      <b/>
      <sz val="11"/>
      <color theme="1"/>
      <name val="Arial"/>
      <family val="2"/>
    </font>
    <font>
      <sz val="10"/>
      <color theme="1"/>
      <name val="Arial"/>
      <family val="2"/>
    </font>
    <font>
      <b/>
      <sz val="18"/>
      <color theme="1"/>
      <name val="Calibri"/>
      <family val="2"/>
      <scheme val="minor"/>
    </font>
    <font>
      <b/>
      <i/>
      <sz val="12"/>
      <color theme="1"/>
      <name val="Calibri"/>
      <family val="2"/>
      <scheme val="minor"/>
    </font>
    <font>
      <b/>
      <sz val="20"/>
      <color theme="1"/>
      <name val="Calibri"/>
      <family val="2"/>
      <scheme val="minor"/>
    </font>
    <font>
      <u/>
      <sz val="9"/>
      <color theme="1" tint="0.499984740745262"/>
      <name val="Arial"/>
      <family val="2"/>
    </font>
    <font>
      <u/>
      <sz val="10"/>
      <color theme="0" tint="-0.499984740745262"/>
      <name val="Calibri"/>
      <family val="2"/>
      <scheme val="minor"/>
    </font>
    <font>
      <b/>
      <sz val="10"/>
      <color theme="1"/>
      <name val="Arial"/>
      <family val="2"/>
    </font>
    <font>
      <b/>
      <i/>
      <sz val="11"/>
      <color theme="0"/>
      <name val="Arial"/>
      <family val="2"/>
    </font>
    <font>
      <b/>
      <u/>
      <sz val="11"/>
      <color theme="10"/>
      <name val="Calibri"/>
      <family val="2"/>
      <scheme val="minor"/>
    </font>
    <font>
      <sz val="11"/>
      <name val="Calibri"/>
      <family val="2"/>
      <scheme val="minor"/>
    </font>
    <font>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theme="1" tint="0.34998626667073579"/>
      <name val="Calibri"/>
      <family val="2"/>
      <scheme val="minor"/>
    </font>
    <font>
      <sz val="9"/>
      <color indexed="81"/>
      <name val="Tahoma"/>
      <family val="2"/>
    </font>
    <font>
      <b/>
      <sz val="8"/>
      <color theme="1"/>
      <name val="Calibri"/>
      <family val="2"/>
      <scheme val="minor"/>
    </font>
    <font>
      <b/>
      <sz val="9"/>
      <name val="Arial"/>
      <family val="2"/>
    </font>
    <font>
      <sz val="9"/>
      <name val="Arial"/>
      <family val="2"/>
    </font>
    <font>
      <sz val="10"/>
      <name val="Arial"/>
      <family val="2"/>
    </font>
    <font>
      <sz val="10"/>
      <color theme="0" tint="-0.499984740745262"/>
      <name val="Calibri"/>
      <family val="2"/>
      <scheme val="minor"/>
    </font>
    <font>
      <b/>
      <sz val="10"/>
      <name val="Arial"/>
      <family val="2"/>
    </font>
    <font>
      <b/>
      <sz val="12"/>
      <color theme="1"/>
      <name val="Arial"/>
      <family val="2"/>
    </font>
    <font>
      <sz val="10"/>
      <color theme="0" tint="-0.499984740745262"/>
      <name val="Arial"/>
      <family val="2"/>
    </font>
  </fonts>
  <fills count="6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E38B"/>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
      <left/>
      <right/>
      <top/>
      <bottom style="thick">
        <color theme="4" tint="0.499984740745262"/>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theme="0"/>
      </right>
      <top style="thin">
        <color indexed="64"/>
      </top>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bottom style="medium">
        <color indexed="64"/>
      </bottom>
      <diagonal/>
    </border>
    <border>
      <left/>
      <right style="thick">
        <color theme="0"/>
      </right>
      <top/>
      <bottom style="medium">
        <color indexed="64"/>
      </bottom>
      <diagonal/>
    </border>
    <border>
      <left style="thick">
        <color theme="0"/>
      </left>
      <right/>
      <top/>
      <bottom style="medium">
        <color indexed="64"/>
      </bottom>
      <diagonal/>
    </border>
    <border>
      <left style="thick">
        <color theme="0"/>
      </left>
      <right/>
      <top style="thin">
        <color indexed="64"/>
      </top>
      <bottom/>
      <diagonal/>
    </border>
    <border>
      <left/>
      <right/>
      <top style="medium">
        <color indexed="64"/>
      </top>
      <bottom/>
      <diagonal/>
    </border>
    <border>
      <left style="thick">
        <color theme="0"/>
      </left>
      <right/>
      <top style="medium">
        <color indexed="64"/>
      </top>
      <bottom/>
      <diagonal/>
    </border>
    <border>
      <left/>
      <right style="thick">
        <color theme="0"/>
      </right>
      <top style="medium">
        <color indexed="64"/>
      </top>
      <bottom/>
      <diagonal/>
    </border>
    <border>
      <left style="thick">
        <color theme="0"/>
      </left>
      <right style="thick">
        <color theme="0"/>
      </right>
      <top style="thin">
        <color indexed="64"/>
      </top>
      <bottom/>
      <diagonal/>
    </border>
    <border>
      <left style="thick">
        <color theme="0"/>
      </left>
      <right/>
      <top style="thin">
        <color indexed="64"/>
      </top>
      <bottom style="thin">
        <color indexed="64"/>
      </bottom>
      <diagonal/>
    </border>
    <border>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ck">
        <color theme="0"/>
      </right>
      <top style="medium">
        <color indexed="64"/>
      </top>
      <bottom style="thin">
        <color indexed="64"/>
      </bottom>
      <diagonal/>
    </border>
    <border>
      <left style="thick">
        <color theme="0"/>
      </left>
      <right/>
      <top style="medium">
        <color indexed="64"/>
      </top>
      <bottom style="thin">
        <color indexed="64"/>
      </bottom>
      <diagonal/>
    </border>
    <border>
      <left/>
      <right/>
      <top style="medium">
        <color indexed="64"/>
      </top>
      <bottom style="thin">
        <color indexed="64"/>
      </bottom>
      <diagonal/>
    </border>
    <border>
      <left/>
      <right style="thick">
        <color theme="0"/>
      </right>
      <top style="medium">
        <color indexed="64"/>
      </top>
      <bottom style="thin">
        <color indexed="64"/>
      </bottom>
      <diagonal/>
    </border>
    <border>
      <left style="thick">
        <color theme="0"/>
      </left>
      <right/>
      <top/>
      <bottom style="thin">
        <color indexed="64"/>
      </bottom>
      <diagonal/>
    </border>
    <border>
      <left/>
      <right style="thick">
        <color theme="0"/>
      </right>
      <top/>
      <bottom style="thin">
        <color indexed="64"/>
      </bottom>
      <diagonal/>
    </border>
    <border>
      <left style="thick">
        <color theme="0"/>
      </left>
      <right/>
      <top style="thin">
        <color indexed="64"/>
      </top>
      <bottom style="medium">
        <color indexed="64"/>
      </bottom>
      <diagonal/>
    </border>
    <border>
      <left/>
      <right/>
      <top style="thin">
        <color indexed="64"/>
      </top>
      <bottom style="medium">
        <color indexed="64"/>
      </bottom>
      <diagonal/>
    </border>
    <border>
      <left/>
      <right style="thick">
        <color theme="0"/>
      </right>
      <top style="thin">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left>
      <right style="thick">
        <color theme="0"/>
      </right>
      <top style="medium">
        <color indexed="64"/>
      </top>
      <bottom/>
      <diagonal/>
    </border>
    <border>
      <left style="medium">
        <color rgb="FF2592FF"/>
      </left>
      <right style="medium">
        <color rgb="FF2592FF"/>
      </right>
      <top style="medium">
        <color rgb="FF2592FF"/>
      </top>
      <bottom style="medium">
        <color rgb="FF2592FF"/>
      </bottom>
      <diagonal/>
    </border>
    <border>
      <left/>
      <right style="thick">
        <color theme="0"/>
      </right>
      <top style="medium">
        <color indexed="64"/>
      </top>
      <bottom style="medium">
        <color indexed="64"/>
      </bottom>
      <diagonal/>
    </border>
    <border>
      <left/>
      <right/>
      <top style="medium">
        <color indexed="64"/>
      </top>
      <bottom style="medium">
        <color indexed="64"/>
      </bottom>
      <diagonal/>
    </border>
    <border>
      <left style="thick">
        <color theme="0"/>
      </left>
      <right style="thick">
        <color theme="0"/>
      </right>
      <top style="medium">
        <color indexed="64"/>
      </top>
      <bottom style="medium">
        <color indexed="64"/>
      </bottom>
      <diagonal/>
    </border>
    <border>
      <left style="thick">
        <color theme="0"/>
      </left>
      <right/>
      <top style="medium">
        <color indexed="64"/>
      </top>
      <bottom style="medium">
        <color indexed="64"/>
      </bottom>
      <diagonal/>
    </border>
  </borders>
  <cellStyleXfs count="63">
    <xf numFmtId="0" fontId="0" fillId="0" borderId="0"/>
    <xf numFmtId="0" fontId="20" fillId="0" borderId="0"/>
    <xf numFmtId="9" fontId="22" fillId="0" borderId="0" applyFont="0" applyFill="0" applyBorder="0" applyAlignment="0" applyProtection="0"/>
    <xf numFmtId="0" fontId="19" fillId="0" borderId="0"/>
    <xf numFmtId="44" fontId="22" fillId="0" borderId="0" applyFont="0" applyFill="0" applyBorder="0" applyAlignment="0" applyProtection="0"/>
    <xf numFmtId="0" fontId="26" fillId="0" borderId="10" applyNumberFormat="0" applyFill="0" applyAlignment="0" applyProtection="0"/>
    <xf numFmtId="0" fontId="27" fillId="0" borderId="0" applyNumberFormat="0" applyFill="0" applyBorder="0" applyAlignment="0" applyProtection="0"/>
    <xf numFmtId="0" fontId="18" fillId="0" borderId="0"/>
    <xf numFmtId="0" fontId="22" fillId="0" borderId="0"/>
    <xf numFmtId="0" fontId="18" fillId="0" borderId="0"/>
    <xf numFmtId="9" fontId="22" fillId="0" borderId="0" applyFont="0" applyFill="0" applyBorder="0" applyAlignment="0" applyProtection="0"/>
    <xf numFmtId="0" fontId="18" fillId="0" borderId="0"/>
    <xf numFmtId="44" fontId="22" fillId="0" borderId="0" applyFont="0" applyFill="0" applyBorder="0" applyAlignment="0" applyProtection="0"/>
    <xf numFmtId="0" fontId="17" fillId="0" borderId="0"/>
    <xf numFmtId="0" fontId="17" fillId="0" borderId="0"/>
    <xf numFmtId="0" fontId="17" fillId="0" borderId="0"/>
    <xf numFmtId="0" fontId="30" fillId="0" borderId="0" applyNumberFormat="0" applyFill="0" applyBorder="0" applyAlignment="0" applyProtection="0"/>
    <xf numFmtId="43" fontId="22" fillId="0" borderId="0" applyFont="0" applyFill="0" applyBorder="0" applyAlignment="0" applyProtection="0"/>
    <xf numFmtId="0" fontId="11" fillId="0" borderId="0"/>
    <xf numFmtId="0" fontId="10" fillId="0" borderId="0"/>
    <xf numFmtId="0" fontId="9" fillId="0" borderId="0"/>
    <xf numFmtId="0" fontId="44" fillId="0" borderId="0" applyNumberFormat="0" applyFill="0" applyBorder="0" applyAlignment="0" applyProtection="0"/>
    <xf numFmtId="0" fontId="45" fillId="0" borderId="40" applyNumberFormat="0" applyFill="0" applyAlignment="0" applyProtection="0"/>
    <xf numFmtId="0" fontId="46" fillId="0" borderId="41" applyNumberFormat="0" applyFill="0" applyAlignment="0" applyProtection="0"/>
    <xf numFmtId="0" fontId="46" fillId="0" borderId="0" applyNumberFormat="0" applyFill="0" applyBorder="0" applyAlignment="0" applyProtection="0"/>
    <xf numFmtId="0" fontId="47" fillId="27" borderId="0" applyNumberFormat="0" applyBorder="0" applyAlignment="0" applyProtection="0"/>
    <xf numFmtId="0" fontId="48" fillId="28" borderId="0" applyNumberFormat="0" applyBorder="0" applyAlignment="0" applyProtection="0"/>
    <xf numFmtId="0" fontId="49" fillId="29" borderId="0" applyNumberFormat="0" applyBorder="0" applyAlignment="0" applyProtection="0"/>
    <xf numFmtId="0" fontId="50" fillId="30" borderId="42" applyNumberFormat="0" applyAlignment="0" applyProtection="0"/>
    <xf numFmtId="0" fontId="51" fillId="31" borderId="43" applyNumberFormat="0" applyAlignment="0" applyProtection="0"/>
    <xf numFmtId="0" fontId="52" fillId="31" borderId="42" applyNumberFormat="0" applyAlignment="0" applyProtection="0"/>
    <xf numFmtId="0" fontId="53" fillId="0" borderId="44" applyNumberFormat="0" applyFill="0" applyAlignment="0" applyProtection="0"/>
    <xf numFmtId="0" fontId="54" fillId="32" borderId="45" applyNumberFormat="0" applyAlignment="0" applyProtection="0"/>
    <xf numFmtId="0" fontId="32" fillId="0" borderId="0" applyNumberFormat="0" applyFill="0" applyBorder="0" applyAlignment="0" applyProtection="0"/>
    <xf numFmtId="0" fontId="55" fillId="0" borderId="0" applyNumberFormat="0" applyFill="0" applyBorder="0" applyAlignment="0" applyProtection="0"/>
    <xf numFmtId="0" fontId="25" fillId="0" borderId="47" applyNumberFormat="0" applyFill="0" applyAlignment="0" applyProtection="0"/>
    <xf numFmtId="0" fontId="56"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56" fillId="53" borderId="0" applyNumberFormat="0" applyBorder="0" applyAlignment="0" applyProtection="0"/>
    <xf numFmtId="0" fontId="56" fillId="54"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56" fillId="57" borderId="0" applyNumberFormat="0" applyBorder="0" applyAlignment="0" applyProtection="0"/>
    <xf numFmtId="0" fontId="7" fillId="0" borderId="0"/>
    <xf numFmtId="9" fontId="7" fillId="0" borderId="0" applyFont="0" applyFill="0" applyBorder="0" applyAlignment="0" applyProtection="0"/>
    <xf numFmtId="0" fontId="7" fillId="33" borderId="46" applyNumberFormat="0" applyFont="0" applyAlignment="0" applyProtection="0"/>
  </cellStyleXfs>
  <cellXfs count="405">
    <xf numFmtId="0" fontId="0" fillId="0" borderId="0" xfId="0"/>
    <xf numFmtId="0" fontId="20" fillId="0" borderId="0" xfId="1"/>
    <xf numFmtId="0" fontId="0" fillId="0" borderId="0" xfId="0" applyBorder="1"/>
    <xf numFmtId="0" fontId="0" fillId="0" borderId="3" xfId="0" applyBorder="1"/>
    <xf numFmtId="14" fontId="0" fillId="0" borderId="0" xfId="0" applyNumberFormat="1"/>
    <xf numFmtId="0" fontId="0" fillId="0" borderId="0" xfId="0" applyAlignment="1">
      <alignment wrapText="1"/>
    </xf>
    <xf numFmtId="0" fontId="0" fillId="0" borderId="0" xfId="0" applyFill="1"/>
    <xf numFmtId="0" fontId="0" fillId="6" borderId="0" xfId="0" applyFill="1"/>
    <xf numFmtId="0" fontId="0" fillId="5" borderId="0" xfId="0" applyFill="1" applyBorder="1"/>
    <xf numFmtId="0" fontId="0" fillId="0" borderId="0" xfId="0"/>
    <xf numFmtId="0" fontId="0" fillId="0" borderId="0" xfId="0" applyFill="1" applyBorder="1"/>
    <xf numFmtId="0" fontId="0" fillId="0" borderId="8" xfId="0" applyBorder="1"/>
    <xf numFmtId="0" fontId="25" fillId="8" borderId="0" xfId="0" applyFont="1" applyFill="1" applyBorder="1"/>
    <xf numFmtId="0" fontId="26" fillId="0" borderId="10" xfId="5"/>
    <xf numFmtId="0" fontId="0" fillId="0" borderId="0" xfId="0" applyFont="1"/>
    <xf numFmtId="0" fontId="27" fillId="0" borderId="0" xfId="6"/>
    <xf numFmtId="0" fontId="0" fillId="0" borderId="0" xfId="0" applyAlignment="1"/>
    <xf numFmtId="17" fontId="0" fillId="0" borderId="0" xfId="0" applyNumberFormat="1"/>
    <xf numFmtId="0" fontId="25" fillId="0" borderId="0" xfId="1" applyFont="1"/>
    <xf numFmtId="0" fontId="23" fillId="0" borderId="0" xfId="0" applyFont="1" applyBorder="1"/>
    <xf numFmtId="0" fontId="0" fillId="0" borderId="0" xfId="0" applyFont="1" applyFill="1" applyBorder="1"/>
    <xf numFmtId="0" fontId="0" fillId="4" borderId="0" xfId="0" applyFill="1" applyBorder="1"/>
    <xf numFmtId="164" fontId="0" fillId="4" borderId="0" xfId="4" applyNumberFormat="1" applyFont="1" applyFill="1" applyBorder="1"/>
    <xf numFmtId="0" fontId="25" fillId="4" borderId="5" xfId="1" applyFont="1" applyFill="1" applyBorder="1" applyAlignment="1">
      <alignment horizontal="right" wrapText="1"/>
    </xf>
    <xf numFmtId="0" fontId="25" fillId="4" borderId="4" xfId="1" applyFont="1" applyFill="1" applyBorder="1" applyAlignment="1">
      <alignment wrapText="1"/>
    </xf>
    <xf numFmtId="0" fontId="25" fillId="4" borderId="6" xfId="1" applyFont="1" applyFill="1" applyBorder="1" applyAlignment="1">
      <alignment wrapText="1"/>
    </xf>
    <xf numFmtId="0" fontId="23" fillId="6" borderId="13" xfId="0" applyFont="1" applyFill="1" applyBorder="1"/>
    <xf numFmtId="0" fontId="0" fillId="6" borderId="12" xfId="0" applyFill="1" applyBorder="1"/>
    <xf numFmtId="0" fontId="0" fillId="6" borderId="14" xfId="0" applyFill="1" applyBorder="1"/>
    <xf numFmtId="0" fontId="23" fillId="0" borderId="2" xfId="0" applyFont="1" applyBorder="1"/>
    <xf numFmtId="0" fontId="23" fillId="0" borderId="7" xfId="0" applyFont="1" applyBorder="1"/>
    <xf numFmtId="0" fontId="0" fillId="0" borderId="2" xfId="0" applyBorder="1"/>
    <xf numFmtId="0" fontId="0" fillId="0" borderId="7" xfId="0" applyBorder="1"/>
    <xf numFmtId="0" fontId="0" fillId="0" borderId="11" xfId="0" applyBorder="1"/>
    <xf numFmtId="0" fontId="0" fillId="0" borderId="15" xfId="0" applyBorder="1"/>
    <xf numFmtId="0" fontId="23" fillId="4" borderId="1" xfId="0" applyNumberFormat="1" applyFont="1" applyFill="1" applyBorder="1" applyAlignment="1" applyProtection="1">
      <alignment wrapText="1"/>
    </xf>
    <xf numFmtId="0" fontId="23" fillId="2" borderId="1" xfId="0" applyNumberFormat="1" applyFont="1" applyFill="1" applyBorder="1" applyAlignment="1" applyProtection="1">
      <alignment wrapText="1"/>
    </xf>
    <xf numFmtId="0" fontId="23" fillId="0" borderId="0" xfId="1" applyFont="1"/>
    <xf numFmtId="0" fontId="25" fillId="0" borderId="0" xfId="0" applyFont="1" applyFill="1" applyBorder="1"/>
    <xf numFmtId="0" fontId="16" fillId="3" borderId="1" xfId="1" applyFont="1" applyFill="1" applyBorder="1" applyAlignment="1">
      <alignment wrapText="1"/>
    </xf>
    <xf numFmtId="0" fontId="23" fillId="7" borderId="1" xfId="0" applyNumberFormat="1" applyFont="1" applyFill="1" applyBorder="1" applyAlignment="1" applyProtection="1">
      <alignment wrapText="1"/>
    </xf>
    <xf numFmtId="0" fontId="25" fillId="4" borderId="5" xfId="1" applyFont="1" applyFill="1" applyBorder="1" applyAlignment="1">
      <alignment horizontal="right" vertical="center" wrapText="1"/>
    </xf>
    <xf numFmtId="0" fontId="25" fillId="4" borderId="4" xfId="1" applyFont="1" applyFill="1" applyBorder="1" applyAlignment="1">
      <alignment horizontal="center" vertical="center" wrapText="1"/>
    </xf>
    <xf numFmtId="0" fontId="25" fillId="4" borderId="6" xfId="1" applyFont="1" applyFill="1" applyBorder="1" applyAlignment="1">
      <alignment horizontal="center" vertical="center" wrapText="1"/>
    </xf>
    <xf numFmtId="0" fontId="21" fillId="2" borderId="1" xfId="0" applyNumberFormat="1" applyFont="1" applyFill="1" applyBorder="1" applyAlignment="1" applyProtection="1">
      <alignment horizontal="center" vertical="center" wrapText="1"/>
    </xf>
    <xf numFmtId="0" fontId="21" fillId="0" borderId="0" xfId="1" applyFont="1" applyAlignment="1">
      <alignment horizontal="center" vertical="center"/>
    </xf>
    <xf numFmtId="0" fontId="20" fillId="10" borderId="1" xfId="1" applyFill="1" applyBorder="1" applyAlignment="1">
      <alignment wrapText="1"/>
    </xf>
    <xf numFmtId="0" fontId="18" fillId="10" borderId="1" xfId="1" applyFont="1" applyFill="1" applyBorder="1" applyAlignment="1">
      <alignment wrapText="1"/>
    </xf>
    <xf numFmtId="0" fontId="22" fillId="10" borderId="1" xfId="1" applyFont="1" applyFill="1" applyBorder="1" applyAlignment="1">
      <alignment wrapText="1"/>
    </xf>
    <xf numFmtId="0" fontId="29" fillId="7" borderId="1" xfId="0" applyNumberFormat="1" applyFont="1" applyFill="1" applyBorder="1" applyAlignment="1" applyProtection="1">
      <alignment horizontal="center" vertical="center" wrapText="1"/>
    </xf>
    <xf numFmtId="0" fontId="28" fillId="4" borderId="11" xfId="1" applyFont="1" applyFill="1" applyBorder="1" applyAlignment="1"/>
    <xf numFmtId="0" fontId="28" fillId="4" borderId="3" xfId="1" applyFont="1" applyFill="1" applyBorder="1" applyAlignment="1"/>
    <xf numFmtId="0" fontId="28" fillId="4" borderId="15" xfId="1" applyFont="1" applyFill="1" applyBorder="1" applyAlignment="1">
      <alignment horizontal="right"/>
    </xf>
    <xf numFmtId="0" fontId="20" fillId="13" borderId="1" xfId="1" applyFill="1" applyBorder="1" applyAlignment="1">
      <alignment wrapText="1"/>
    </xf>
    <xf numFmtId="0" fontId="20" fillId="16" borderId="1" xfId="1" applyFill="1" applyBorder="1" applyAlignment="1">
      <alignment wrapText="1"/>
    </xf>
    <xf numFmtId="0" fontId="18" fillId="13" borderId="1" xfId="1" applyFont="1" applyFill="1" applyBorder="1" applyAlignment="1">
      <alignment wrapText="1"/>
    </xf>
    <xf numFmtId="0" fontId="18" fillId="16" borderId="1" xfId="1" applyFont="1" applyFill="1" applyBorder="1" applyAlignment="1">
      <alignment wrapText="1"/>
    </xf>
    <xf numFmtId="0" fontId="22" fillId="13" borderId="1" xfId="1" applyFont="1" applyFill="1" applyBorder="1" applyAlignment="1">
      <alignment wrapText="1"/>
    </xf>
    <xf numFmtId="0" fontId="22" fillId="16" borderId="1" xfId="1" applyFont="1" applyFill="1" applyBorder="1" applyAlignment="1">
      <alignment wrapText="1"/>
    </xf>
    <xf numFmtId="0" fontId="21" fillId="17" borderId="1" xfId="0" applyNumberFormat="1" applyFont="1" applyFill="1" applyBorder="1" applyAlignment="1" applyProtection="1">
      <alignment horizontal="center" vertical="center" wrapText="1"/>
    </xf>
    <xf numFmtId="0" fontId="23" fillId="12" borderId="1" xfId="0" applyNumberFormat="1" applyFont="1" applyFill="1" applyBorder="1" applyAlignment="1" applyProtection="1">
      <alignment wrapText="1"/>
    </xf>
    <xf numFmtId="0" fontId="23" fillId="17" borderId="1" xfId="0" applyNumberFormat="1" applyFont="1" applyFill="1" applyBorder="1" applyAlignment="1" applyProtection="1">
      <alignment wrapText="1"/>
    </xf>
    <xf numFmtId="0" fontId="29" fillId="17" borderId="1" xfId="0" applyNumberFormat="1" applyFont="1" applyFill="1" applyBorder="1" applyAlignment="1" applyProtection="1">
      <alignment horizontal="center" vertical="center" wrapText="1"/>
    </xf>
    <xf numFmtId="0" fontId="21" fillId="12" borderId="1" xfId="0" applyNumberFormat="1" applyFont="1" applyFill="1" applyBorder="1" applyAlignment="1" applyProtection="1">
      <alignment horizontal="center" vertical="center" wrapText="1"/>
    </xf>
    <xf numFmtId="0" fontId="21" fillId="12" borderId="1" xfId="0" applyNumberFormat="1" applyFont="1" applyFill="1" applyBorder="1" applyAlignment="1" applyProtection="1">
      <alignment vertical="center" wrapText="1"/>
    </xf>
    <xf numFmtId="0" fontId="20" fillId="20" borderId="1" xfId="1" applyFill="1" applyBorder="1"/>
    <xf numFmtId="0" fontId="23" fillId="21" borderId="1" xfId="1" applyFont="1" applyFill="1" applyBorder="1"/>
    <xf numFmtId="0" fontId="0" fillId="3" borderId="1" xfId="1" applyFont="1" applyFill="1" applyBorder="1" applyAlignment="1">
      <alignment wrapText="1"/>
    </xf>
    <xf numFmtId="0" fontId="15" fillId="3" borderId="1" xfId="1" applyFont="1" applyFill="1" applyBorder="1" applyAlignment="1">
      <alignment wrapText="1"/>
    </xf>
    <xf numFmtId="0" fontId="15" fillId="10" borderId="1" xfId="1" applyFont="1" applyFill="1" applyBorder="1" applyAlignment="1">
      <alignment wrapText="1"/>
    </xf>
    <xf numFmtId="0" fontId="0" fillId="16" borderId="1" xfId="1" applyFont="1" applyFill="1" applyBorder="1" applyAlignment="1">
      <alignment wrapText="1"/>
    </xf>
    <xf numFmtId="0" fontId="14" fillId="16" borderId="1" xfId="1" applyFont="1" applyFill="1" applyBorder="1" applyAlignment="1">
      <alignment wrapText="1"/>
    </xf>
    <xf numFmtId="0" fontId="0" fillId="0" borderId="0" xfId="0" applyFill="1" applyAlignment="1">
      <alignment horizontal="left"/>
    </xf>
    <xf numFmtId="0" fontId="0" fillId="0" borderId="0" xfId="0" applyAlignment="1">
      <alignment horizontal="left"/>
    </xf>
    <xf numFmtId="0" fontId="14" fillId="13" borderId="1" xfId="1" applyFont="1" applyFill="1" applyBorder="1" applyAlignment="1">
      <alignment wrapText="1"/>
    </xf>
    <xf numFmtId="15" fontId="0" fillId="0" borderId="0" xfId="0" applyNumberFormat="1"/>
    <xf numFmtId="1" fontId="0" fillId="0" borderId="0" xfId="0" applyNumberFormat="1"/>
    <xf numFmtId="0" fontId="31" fillId="0" borderId="0" xfId="0" applyFont="1"/>
    <xf numFmtId="0" fontId="0" fillId="10" borderId="1" xfId="1" applyFont="1" applyFill="1" applyBorder="1" applyAlignment="1">
      <alignment wrapText="1"/>
    </xf>
    <xf numFmtId="0" fontId="13" fillId="10" borderId="1" xfId="1" applyFont="1" applyFill="1" applyBorder="1" applyAlignment="1">
      <alignment wrapText="1"/>
    </xf>
    <xf numFmtId="15" fontId="0" fillId="0" borderId="0" xfId="0" applyNumberFormat="1" applyFill="1"/>
    <xf numFmtId="0" fontId="0" fillId="0" borderId="0" xfId="0" applyFill="1" applyAlignment="1"/>
    <xf numFmtId="43" fontId="0" fillId="0" borderId="0" xfId="17" applyNumberFormat="1" applyFont="1" applyFill="1" applyAlignment="1"/>
    <xf numFmtId="0" fontId="0" fillId="0" borderId="0" xfId="2" applyNumberFormat="1" applyFont="1" applyAlignment="1"/>
    <xf numFmtId="0" fontId="0" fillId="0" borderId="0" xfId="0" applyNumberFormat="1" applyAlignment="1"/>
    <xf numFmtId="0" fontId="0" fillId="0" borderId="0" xfId="0" applyFill="1" applyBorder="1" applyAlignment="1"/>
    <xf numFmtId="0" fontId="0" fillId="0" borderId="0" xfId="0" applyNumberFormat="1" applyFill="1" applyBorder="1" applyAlignment="1"/>
    <xf numFmtId="9" fontId="0" fillId="0" borderId="0" xfId="2" applyFont="1" applyFill="1" applyAlignment="1"/>
    <xf numFmtId="6" fontId="0" fillId="0" borderId="0" xfId="0" applyNumberFormat="1" applyAlignment="1"/>
    <xf numFmtId="0" fontId="25" fillId="14" borderId="5" xfId="1" applyFont="1" applyFill="1" applyBorder="1" applyAlignment="1">
      <alignment horizontal="center" wrapText="1"/>
    </xf>
    <xf numFmtId="9" fontId="0" fillId="0" borderId="0" xfId="0" applyNumberFormat="1" applyFill="1" applyAlignment="1"/>
    <xf numFmtId="10" fontId="0" fillId="0" borderId="0" xfId="0" applyNumberFormat="1" applyFill="1" applyAlignment="1"/>
    <xf numFmtId="9" fontId="0" fillId="0" borderId="0" xfId="2" applyNumberFormat="1" applyFont="1" applyFill="1" applyAlignment="1"/>
    <xf numFmtId="10" fontId="0" fillId="0" borderId="0" xfId="2" applyNumberFormat="1" applyFont="1" applyFill="1" applyAlignment="1"/>
    <xf numFmtId="0" fontId="12" fillId="13" borderId="1" xfId="1" applyFont="1" applyFill="1" applyBorder="1" applyAlignment="1">
      <alignment wrapText="1"/>
    </xf>
    <xf numFmtId="6" fontId="0" fillId="0" borderId="0" xfId="2" applyNumberFormat="1" applyFont="1" applyFill="1" applyAlignment="1"/>
    <xf numFmtId="0" fontId="24" fillId="0" borderId="0" xfId="0" applyFont="1" applyFill="1" applyAlignment="1"/>
    <xf numFmtId="0" fontId="35" fillId="5" borderId="3" xfId="0" applyFont="1" applyFill="1" applyBorder="1"/>
    <xf numFmtId="0" fontId="0" fillId="5" borderId="3" xfId="0" applyFill="1" applyBorder="1"/>
    <xf numFmtId="0" fontId="0" fillId="5" borderId="0" xfId="0" applyFill="1"/>
    <xf numFmtId="0" fontId="11" fillId="16" borderId="1" xfId="1" applyFont="1" applyFill="1" applyBorder="1" applyAlignment="1">
      <alignment wrapText="1"/>
    </xf>
    <xf numFmtId="0" fontId="36" fillId="5" borderId="3" xfId="0" applyFont="1" applyFill="1" applyBorder="1"/>
    <xf numFmtId="0" fontId="37" fillId="6" borderId="0" xfId="0" applyFont="1" applyFill="1" applyBorder="1" applyAlignment="1"/>
    <xf numFmtId="0" fontId="0" fillId="6" borderId="0" xfId="0" applyFill="1" applyBorder="1" applyAlignment="1">
      <alignment horizontal="left"/>
    </xf>
    <xf numFmtId="0" fontId="0" fillId="6" borderId="0" xfId="0" applyFill="1" applyBorder="1" applyAlignment="1">
      <alignment horizontal="right" vertical="center"/>
    </xf>
    <xf numFmtId="0" fontId="23" fillId="6" borderId="0" xfId="0" applyFont="1" applyFill="1" applyBorder="1"/>
    <xf numFmtId="0" fontId="37" fillId="6" borderId="0" xfId="0" applyFont="1" applyFill="1" applyBorder="1" applyAlignment="1">
      <alignment horizontal="left"/>
    </xf>
    <xf numFmtId="0" fontId="38" fillId="6" borderId="0" xfId="0" applyFont="1" applyFill="1" applyBorder="1" applyAlignment="1">
      <alignment horizontal="right" vertical="center"/>
    </xf>
    <xf numFmtId="0" fontId="0" fillId="6" borderId="0" xfId="0" applyFill="1" applyBorder="1" applyAlignment="1">
      <alignment vertical="center"/>
    </xf>
    <xf numFmtId="0" fontId="23" fillId="6" borderId="9" xfId="0" applyFont="1" applyFill="1" applyBorder="1"/>
    <xf numFmtId="0" fontId="0" fillId="6" borderId="9" xfId="0" applyFill="1" applyBorder="1"/>
    <xf numFmtId="0" fontId="0" fillId="15" borderId="0" xfId="0" applyFill="1" applyBorder="1"/>
    <xf numFmtId="0" fontId="0" fillId="4" borderId="0" xfId="0" applyFill="1"/>
    <xf numFmtId="0" fontId="23" fillId="4" borderId="0" xfId="0" applyNumberFormat="1" applyFont="1" applyFill="1" applyBorder="1" applyAlignment="1" applyProtection="1">
      <alignment wrapText="1"/>
    </xf>
    <xf numFmtId="0" fontId="23" fillId="21" borderId="0" xfId="1" applyFont="1" applyFill="1" applyBorder="1"/>
    <xf numFmtId="9" fontId="0" fillId="4" borderId="0" xfId="2" applyFont="1" applyFill="1"/>
    <xf numFmtId="164" fontId="0" fillId="4" borderId="0" xfId="4" applyNumberFormat="1" applyFont="1" applyFill="1"/>
    <xf numFmtId="0" fontId="39" fillId="5" borderId="0" xfId="0" applyFont="1" applyFill="1" applyAlignment="1"/>
    <xf numFmtId="9" fontId="34" fillId="5" borderId="0" xfId="2" applyFont="1" applyFill="1" applyBorder="1" applyAlignment="1"/>
    <xf numFmtId="0" fontId="33" fillId="5" borderId="0" xfId="18" applyFont="1" applyFill="1" applyBorder="1" applyAlignment="1">
      <alignment vertical="center" wrapText="1"/>
    </xf>
    <xf numFmtId="0" fontId="0" fillId="23" borderId="0" xfId="0" applyFill="1"/>
    <xf numFmtId="0" fontId="39" fillId="23" borderId="0" xfId="0" applyFont="1" applyFill="1" applyAlignment="1"/>
    <xf numFmtId="0" fontId="39" fillId="23" borderId="0" xfId="0" applyFont="1" applyFill="1" applyBorder="1" applyAlignment="1"/>
    <xf numFmtId="0" fontId="10" fillId="0" borderId="0" xfId="19"/>
    <xf numFmtId="17" fontId="10" fillId="0" borderId="0" xfId="19" applyNumberFormat="1" applyFill="1"/>
    <xf numFmtId="2" fontId="10" fillId="0" borderId="0" xfId="19" applyNumberFormat="1" applyFill="1"/>
    <xf numFmtId="0" fontId="10" fillId="0" borderId="0" xfId="19" applyFont="1" applyFill="1"/>
    <xf numFmtId="17" fontId="10" fillId="0" borderId="0" xfId="19" applyNumberFormat="1"/>
    <xf numFmtId="0" fontId="10" fillId="0" borderId="0" xfId="19" applyFill="1"/>
    <xf numFmtId="2" fontId="10" fillId="0" borderId="0" xfId="19" applyNumberFormat="1"/>
    <xf numFmtId="17" fontId="10" fillId="0" borderId="0" xfId="19" applyNumberFormat="1" applyFont="1"/>
    <xf numFmtId="0" fontId="10" fillId="0" borderId="0" xfId="19" applyFont="1"/>
    <xf numFmtId="2" fontId="10" fillId="0" borderId="0" xfId="19" applyNumberFormat="1" applyFont="1"/>
    <xf numFmtId="14" fontId="10" fillId="0" borderId="0" xfId="19" applyNumberFormat="1" applyFont="1"/>
    <xf numFmtId="2" fontId="10" fillId="0" borderId="0" xfId="19" applyNumberFormat="1" applyFont="1" applyAlignment="1">
      <alignment wrapText="1"/>
    </xf>
    <xf numFmtId="0" fontId="32" fillId="0" borderId="0" xfId="19" applyFont="1" applyFill="1"/>
    <xf numFmtId="0" fontId="10" fillId="3" borderId="0" xfId="19" applyFill="1"/>
    <xf numFmtId="0" fontId="10" fillId="3" borderId="0" xfId="19" applyFont="1" applyFill="1"/>
    <xf numFmtId="2" fontId="10" fillId="0" borderId="0" xfId="19" applyNumberFormat="1" applyAlignment="1">
      <alignment wrapText="1"/>
    </xf>
    <xf numFmtId="2" fontId="0" fillId="0" borderId="0" xfId="0" applyNumberFormat="1"/>
    <xf numFmtId="0" fontId="0" fillId="5" borderId="0" xfId="0" applyFill="1" applyBorder="1" applyAlignment="1"/>
    <xf numFmtId="0" fontId="25" fillId="4" borderId="0" xfId="20" applyFont="1" applyFill="1" applyBorder="1" applyAlignment="1">
      <alignment horizontal="right" vertical="center" wrapText="1"/>
    </xf>
    <xf numFmtId="9" fontId="34" fillId="5" borderId="0" xfId="2" applyFont="1" applyFill="1" applyBorder="1" applyAlignment="1">
      <alignment horizontal="center" vertical="center" wrapText="1"/>
    </xf>
    <xf numFmtId="0" fontId="8" fillId="13" borderId="1" xfId="1" applyFont="1" applyFill="1" applyBorder="1" applyAlignment="1">
      <alignment wrapText="1"/>
    </xf>
    <xf numFmtId="0" fontId="23" fillId="0" borderId="0" xfId="0" applyFont="1"/>
    <xf numFmtId="0" fontId="0" fillId="23" borderId="0" xfId="0" applyFill="1" applyBorder="1"/>
    <xf numFmtId="0" fontId="33" fillId="5" borderId="0" xfId="18" applyFont="1" applyFill="1" applyBorder="1" applyAlignment="1">
      <alignment horizontal="center" vertical="center" wrapText="1"/>
    </xf>
    <xf numFmtId="0" fontId="25" fillId="14" borderId="5" xfId="1" applyFont="1" applyFill="1" applyBorder="1" applyAlignment="1">
      <alignment horizontal="center" wrapText="1"/>
    </xf>
    <xf numFmtId="0" fontId="21" fillId="12" borderId="5" xfId="0" applyNumberFormat="1" applyFont="1" applyFill="1" applyBorder="1" applyAlignment="1" applyProtection="1">
      <alignment horizontal="center" vertical="center" wrapText="1"/>
    </xf>
    <xf numFmtId="0" fontId="24" fillId="0" borderId="0" xfId="0" applyFont="1"/>
    <xf numFmtId="0" fontId="24" fillId="0" borderId="0" xfId="0" applyFont="1" applyFill="1"/>
    <xf numFmtId="0" fontId="43" fillId="3" borderId="1" xfId="1" applyFont="1" applyFill="1" applyBorder="1" applyAlignment="1">
      <alignment wrapText="1"/>
    </xf>
    <xf numFmtId="9" fontId="0" fillId="0" borderId="0" xfId="2" applyFont="1" applyFill="1" applyAlignment="1">
      <alignment wrapText="1"/>
    </xf>
    <xf numFmtId="0" fontId="0" fillId="0" borderId="0" xfId="2" applyNumberFormat="1" applyFont="1" applyFill="1" applyAlignment="1">
      <alignment wrapText="1"/>
    </xf>
    <xf numFmtId="0" fontId="35" fillId="5" borderId="0" xfId="0" applyFont="1" applyFill="1" applyBorder="1" applyAlignment="1">
      <alignment horizontal="left"/>
    </xf>
    <xf numFmtId="0" fontId="25" fillId="14" borderId="5" xfId="1" applyFont="1" applyFill="1" applyBorder="1" applyAlignment="1">
      <alignment horizontal="center" wrapText="1"/>
    </xf>
    <xf numFmtId="0" fontId="7" fillId="13" borderId="1" xfId="1" applyFont="1" applyFill="1" applyBorder="1" applyAlignment="1">
      <alignment wrapText="1"/>
    </xf>
    <xf numFmtId="0" fontId="21" fillId="17" borderId="6" xfId="0" applyNumberFormat="1" applyFont="1" applyFill="1" applyBorder="1" applyAlignment="1" applyProtection="1">
      <alignment vertical="center" wrapText="1"/>
    </xf>
    <xf numFmtId="0" fontId="7" fillId="16" borderId="1" xfId="1" applyFont="1" applyFill="1" applyBorder="1" applyAlignment="1">
      <alignment wrapText="1"/>
    </xf>
    <xf numFmtId="1" fontId="0" fillId="0" borderId="0" xfId="0" applyNumberFormat="1" applyFill="1" applyAlignment="1"/>
    <xf numFmtId="0" fontId="0" fillId="0" borderId="0" xfId="0" applyAlignment="1">
      <alignment vertical="center" wrapText="1"/>
    </xf>
    <xf numFmtId="0" fontId="6" fillId="16" borderId="1" xfId="1" applyFont="1" applyFill="1" applyBorder="1" applyAlignment="1">
      <alignment wrapText="1"/>
    </xf>
    <xf numFmtId="1" fontId="0" fillId="4" borderId="0" xfId="0" applyNumberFormat="1" applyFill="1"/>
    <xf numFmtId="1" fontId="0" fillId="0" borderId="0" xfId="2" applyNumberFormat="1" applyFont="1" applyAlignment="1"/>
    <xf numFmtId="0" fontId="20" fillId="16" borderId="1" xfId="1" applyFill="1" applyBorder="1" applyAlignment="1">
      <alignment horizontal="center" wrapText="1"/>
    </xf>
    <xf numFmtId="0" fontId="6" fillId="16" borderId="1" xfId="1" applyFont="1" applyFill="1" applyBorder="1" applyAlignment="1">
      <alignment horizontal="center" wrapText="1"/>
    </xf>
    <xf numFmtId="9" fontId="34" fillId="5" borderId="0" xfId="2" applyFont="1" applyFill="1" applyBorder="1" applyAlignment="1">
      <alignment horizontal="center" vertical="center" wrapText="1"/>
    </xf>
    <xf numFmtId="0" fontId="57" fillId="5" borderId="0" xfId="0" applyFont="1" applyFill="1"/>
    <xf numFmtId="14" fontId="5" fillId="0" borderId="0" xfId="19" applyNumberFormat="1" applyFont="1"/>
    <xf numFmtId="0" fontId="23" fillId="10" borderId="1" xfId="0" applyFont="1" applyFill="1" applyBorder="1" applyAlignment="1">
      <alignment vertical="top"/>
    </xf>
    <xf numFmtId="0" fontId="25" fillId="10" borderId="1" xfId="0" applyFont="1" applyFill="1" applyBorder="1" applyAlignment="1">
      <alignment vertical="top" wrapText="1"/>
    </xf>
    <xf numFmtId="0" fontId="25" fillId="10" borderId="1" xfId="0" applyFont="1" applyFill="1" applyBorder="1" applyAlignment="1">
      <alignment vertical="top"/>
    </xf>
    <xf numFmtId="0" fontId="25" fillId="25" borderId="1" xfId="0" applyFont="1" applyFill="1" applyBorder="1" applyAlignment="1">
      <alignment vertical="top" wrapText="1"/>
    </xf>
    <xf numFmtId="0" fontId="25" fillId="25" borderId="1" xfId="0" applyFont="1" applyFill="1" applyBorder="1" applyAlignment="1">
      <alignment vertical="top"/>
    </xf>
    <xf numFmtId="0" fontId="0" fillId="0" borderId="0" xfId="0" applyAlignment="1">
      <alignment vertical="top"/>
    </xf>
    <xf numFmtId="0" fontId="25" fillId="4" borderId="0" xfId="20" applyFont="1" applyFill="1" applyBorder="1" applyAlignment="1">
      <alignment vertical="top" wrapText="1"/>
    </xf>
    <xf numFmtId="0" fontId="0" fillId="7" borderId="1" xfId="0" applyFill="1" applyBorder="1" applyAlignment="1">
      <alignment vertical="top"/>
    </xf>
    <xf numFmtId="0" fontId="0" fillId="24" borderId="1" xfId="0" applyFill="1" applyBorder="1" applyAlignment="1">
      <alignment vertical="top" wrapText="1"/>
    </xf>
    <xf numFmtId="0" fontId="0" fillId="24" borderId="1" xfId="0" applyFill="1" applyBorder="1" applyAlignment="1">
      <alignment vertical="top"/>
    </xf>
    <xf numFmtId="0" fontId="23" fillId="4" borderId="3" xfId="0" applyNumberFormat="1" applyFont="1" applyFill="1" applyBorder="1" applyAlignment="1" applyProtection="1">
      <alignment vertical="top" wrapText="1"/>
    </xf>
    <xf numFmtId="0" fontId="0" fillId="7" borderId="1" xfId="0" applyFill="1" applyBorder="1" applyAlignment="1">
      <alignment vertical="top" wrapText="1"/>
    </xf>
    <xf numFmtId="0" fontId="23" fillId="4" borderId="0" xfId="0" applyNumberFormat="1" applyFont="1" applyFill="1" applyBorder="1" applyAlignment="1" applyProtection="1">
      <alignment vertical="top" wrapText="1"/>
    </xf>
    <xf numFmtId="0" fontId="0" fillId="0" borderId="0" xfId="0" applyAlignment="1">
      <alignment vertical="top" wrapText="1"/>
    </xf>
    <xf numFmtId="0" fontId="0" fillId="0" borderId="0" xfId="0" applyFill="1" applyBorder="1" applyAlignment="1">
      <alignment vertical="top" wrapText="1"/>
    </xf>
    <xf numFmtId="0" fontId="25" fillId="4" borderId="0" xfId="20" applyFont="1" applyFill="1" applyBorder="1" applyAlignment="1">
      <alignment horizontal="right" vertical="center"/>
    </xf>
    <xf numFmtId="0" fontId="0" fillId="0" borderId="0" xfId="0" applyAlignment="1">
      <alignment vertical="center"/>
    </xf>
    <xf numFmtId="6" fontId="24" fillId="0" borderId="0" xfId="2" applyNumberFormat="1" applyFont="1" applyFill="1" applyAlignment="1"/>
    <xf numFmtId="43" fontId="24" fillId="0" borderId="0" xfId="17" applyNumberFormat="1" applyFont="1" applyFill="1" applyAlignment="1"/>
    <xf numFmtId="1" fontId="24" fillId="0" borderId="0" xfId="2" applyNumberFormat="1" applyFont="1" applyAlignment="1"/>
    <xf numFmtId="0" fontId="24" fillId="0" borderId="0" xfId="2" applyNumberFormat="1" applyFont="1" applyAlignment="1"/>
    <xf numFmtId="1" fontId="0" fillId="0" borderId="0" xfId="0" applyNumberFormat="1" applyFill="1" applyBorder="1" applyAlignment="1"/>
    <xf numFmtId="0" fontId="23" fillId="5" borderId="12" xfId="0" applyFont="1" applyFill="1" applyBorder="1" applyAlignment="1">
      <alignment vertical="center" wrapText="1"/>
    </xf>
    <xf numFmtId="0" fontId="23" fillId="5" borderId="0" xfId="0" applyFont="1" applyFill="1" applyBorder="1" applyAlignment="1">
      <alignment vertical="center" wrapText="1"/>
    </xf>
    <xf numFmtId="0" fontId="23" fillId="5" borderId="9" xfId="0" applyFont="1" applyFill="1" applyBorder="1" applyAlignment="1">
      <alignment vertical="center" wrapText="1"/>
    </xf>
    <xf numFmtId="0" fontId="34" fillId="6" borderId="0" xfId="0" applyFont="1" applyFill="1"/>
    <xf numFmtId="0" fontId="0" fillId="5" borderId="0" xfId="0" applyFill="1" applyAlignment="1"/>
    <xf numFmtId="0" fontId="0" fillId="5" borderId="0" xfId="0" applyFill="1" applyAlignment="1">
      <alignment wrapText="1"/>
    </xf>
    <xf numFmtId="0" fontId="34" fillId="5" borderId="0" xfId="0" applyFont="1" applyFill="1" applyAlignment="1">
      <alignment vertical="top" wrapText="1"/>
    </xf>
    <xf numFmtId="0" fontId="60" fillId="5" borderId="0" xfId="0" applyFont="1" applyFill="1" applyAlignment="1">
      <alignment wrapText="1"/>
    </xf>
    <xf numFmtId="0" fontId="60" fillId="5" borderId="0" xfId="0" applyFont="1" applyFill="1" applyBorder="1" applyAlignment="1">
      <alignment horizontal="left" vertical="center" wrapText="1"/>
    </xf>
    <xf numFmtId="0" fontId="34" fillId="5" borderId="0" xfId="0" applyFont="1" applyFill="1" applyAlignment="1"/>
    <xf numFmtId="0" fontId="23" fillId="5" borderId="24" xfId="0" applyFont="1" applyFill="1" applyBorder="1" applyAlignment="1">
      <alignment vertical="center"/>
    </xf>
    <xf numFmtId="0" fontId="23" fillId="5" borderId="9" xfId="0" applyFont="1" applyFill="1" applyBorder="1" applyAlignment="1">
      <alignment vertical="center"/>
    </xf>
    <xf numFmtId="14" fontId="4" fillId="0" borderId="0" xfId="19" applyNumberFormat="1" applyFont="1"/>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0" fillId="0" borderId="0" xfId="0" applyFill="1" applyAlignment="1">
      <alignment vertical="top" wrapText="1"/>
    </xf>
    <xf numFmtId="0" fontId="0" fillId="0" borderId="0" xfId="0" applyNumberFormat="1"/>
    <xf numFmtId="0" fontId="23" fillId="5" borderId="51" xfId="0" applyFont="1" applyFill="1" applyBorder="1" applyAlignment="1">
      <alignment vertical="center" wrapText="1"/>
    </xf>
    <xf numFmtId="0" fontId="0" fillId="0" borderId="1" xfId="0" applyBorder="1"/>
    <xf numFmtId="0" fontId="0" fillId="59" borderId="1" xfId="0" applyFill="1" applyBorder="1"/>
    <xf numFmtId="3" fontId="0" fillId="0" borderId="1" xfId="0" applyNumberFormat="1" applyBorder="1"/>
    <xf numFmtId="10" fontId="0" fillId="0" borderId="1" xfId="0" applyNumberFormat="1" applyBorder="1"/>
    <xf numFmtId="166" fontId="0" fillId="0" borderId="1" xfId="17" applyNumberFormat="1" applyFont="1" applyBorder="1"/>
    <xf numFmtId="10" fontId="0" fillId="0" borderId="1" xfId="0" applyNumberFormat="1" applyBorder="1" applyAlignment="1">
      <alignment horizontal="right"/>
    </xf>
    <xf numFmtId="0" fontId="34" fillId="0" borderId="0" xfId="0" applyFont="1"/>
    <xf numFmtId="0" fontId="34" fillId="5" borderId="18" xfId="2" applyNumberFormat="1" applyFont="1" applyFill="1" applyBorder="1" applyAlignment="1"/>
    <xf numFmtId="0" fontId="34" fillId="5" borderId="19" xfId="2" applyNumberFormat="1" applyFont="1" applyFill="1" applyBorder="1" applyAlignment="1"/>
    <xf numFmtId="0" fontId="63" fillId="0" borderId="0" xfId="0" applyFont="1" applyAlignment="1">
      <alignment vertical="top" wrapText="1"/>
    </xf>
    <xf numFmtId="9" fontId="62" fillId="0" borderId="18" xfId="2" applyFont="1" applyFill="1" applyBorder="1" applyAlignment="1">
      <alignment horizontal="center"/>
    </xf>
    <xf numFmtId="0" fontId="24" fillId="0" borderId="0" xfId="0" applyFont="1" applyAlignment="1">
      <alignment vertical="top" wrapText="1"/>
    </xf>
    <xf numFmtId="2" fontId="0" fillId="0" borderId="0" xfId="0" applyNumberFormat="1" applyFill="1" applyAlignment="1"/>
    <xf numFmtId="0" fontId="0" fillId="0" borderId="0" xfId="0" applyFill="1" applyAlignment="1">
      <alignment horizontal="left" vertical="top" wrapText="1"/>
    </xf>
    <xf numFmtId="0" fontId="40" fillId="0" borderId="0" xfId="0" applyFont="1" applyFill="1" applyBorder="1" applyAlignment="1">
      <alignment horizontal="center" vertical="center"/>
    </xf>
    <xf numFmtId="0" fontId="40" fillId="0" borderId="0" xfId="0" applyFont="1"/>
    <xf numFmtId="0" fontId="64" fillId="0" borderId="0" xfId="0" applyFont="1" applyFill="1" applyBorder="1" applyAlignment="1">
      <alignment vertical="center" wrapText="1"/>
    </xf>
    <xf numFmtId="2" fontId="2" fillId="0" borderId="0" xfId="19" applyNumberFormat="1" applyFont="1" applyAlignment="1">
      <alignment wrapText="1"/>
    </xf>
    <xf numFmtId="17" fontId="3" fillId="0" borderId="0" xfId="19" applyNumberFormat="1" applyFont="1" applyAlignment="1">
      <alignment horizontal="right"/>
    </xf>
    <xf numFmtId="9" fontId="34" fillId="5" borderId="0" xfId="2" applyFont="1" applyFill="1" applyBorder="1" applyAlignment="1">
      <alignment horizontal="center" vertical="center" wrapText="1"/>
    </xf>
    <xf numFmtId="0" fontId="39" fillId="5" borderId="0" xfId="6" applyFont="1" applyFill="1" applyAlignment="1">
      <alignment horizontal="center" vertical="center"/>
    </xf>
    <xf numFmtId="0" fontId="39" fillId="5" borderId="0" xfId="0" applyFont="1" applyFill="1" applyAlignment="1">
      <alignment horizontal="center" vertical="center"/>
    </xf>
    <xf numFmtId="0" fontId="24" fillId="0" borderId="49" xfId="0" applyFont="1" applyBorder="1" applyProtection="1">
      <protection locked="0"/>
    </xf>
    <xf numFmtId="0" fontId="65" fillId="0" borderId="0" xfId="0" applyFont="1"/>
    <xf numFmtId="0" fontId="60" fillId="5" borderId="12" xfId="0" applyFont="1" applyFill="1" applyBorder="1" applyAlignment="1">
      <alignment vertical="top" wrapText="1"/>
    </xf>
    <xf numFmtId="0" fontId="60" fillId="5" borderId="0" xfId="0" applyFont="1" applyFill="1" applyBorder="1" applyAlignment="1">
      <alignment vertical="top" wrapText="1"/>
    </xf>
    <xf numFmtId="0" fontId="1" fillId="16" borderId="1" xfId="1" applyFont="1" applyFill="1" applyBorder="1" applyAlignment="1">
      <alignment wrapText="1"/>
    </xf>
    <xf numFmtId="1" fontId="0" fillId="0" borderId="0" xfId="0" applyNumberFormat="1" applyFill="1" applyAlignment="1">
      <alignment horizontal="right"/>
    </xf>
    <xf numFmtId="1" fontId="0" fillId="0" borderId="0" xfId="0" applyNumberFormat="1" applyFill="1" applyBorder="1" applyAlignment="1">
      <alignment horizontal="right"/>
    </xf>
    <xf numFmtId="0" fontId="0" fillId="0" borderId="0" xfId="0" applyFill="1" applyAlignment="1">
      <alignment horizontal="right"/>
    </xf>
    <xf numFmtId="0" fontId="33" fillId="6" borderId="35" xfId="18" applyFont="1" applyFill="1" applyBorder="1" applyAlignment="1">
      <alignment horizontal="center" vertical="center" wrapText="1"/>
    </xf>
    <xf numFmtId="0" fontId="33" fillId="6" borderId="3" xfId="18" applyFont="1" applyFill="1" applyBorder="1" applyAlignment="1">
      <alignment horizontal="center" vertical="center" wrapText="1"/>
    </xf>
    <xf numFmtId="0" fontId="33" fillId="6" borderId="36" xfId="18" applyFont="1" applyFill="1" applyBorder="1" applyAlignment="1">
      <alignment horizontal="center" vertical="center" wrapText="1"/>
    </xf>
    <xf numFmtId="0" fontId="33" fillId="6" borderId="17" xfId="18" applyFont="1" applyFill="1" applyBorder="1" applyAlignment="1">
      <alignment horizontal="center" vertical="center" wrapText="1"/>
    </xf>
    <xf numFmtId="0" fontId="33" fillId="6" borderId="0" xfId="18" applyFont="1" applyFill="1" applyBorder="1" applyAlignment="1">
      <alignment horizontal="center" vertical="center" wrapText="1"/>
    </xf>
    <xf numFmtId="0" fontId="33" fillId="6" borderId="18" xfId="18" applyFont="1" applyFill="1" applyBorder="1" applyAlignment="1">
      <alignment horizontal="center" vertical="center" wrapText="1"/>
    </xf>
    <xf numFmtId="1" fontId="34" fillId="5" borderId="20" xfId="4" applyNumberFormat="1" applyFont="1" applyFill="1" applyBorder="1" applyAlignment="1">
      <alignment horizontal="left"/>
    </xf>
    <xf numFmtId="1" fontId="34" fillId="4" borderId="48" xfId="4" applyNumberFormat="1" applyFont="1" applyFill="1" applyBorder="1" applyAlignment="1">
      <alignment horizontal="left"/>
    </xf>
    <xf numFmtId="1" fontId="34" fillId="4" borderId="19" xfId="4" applyNumberFormat="1" applyFont="1" applyFill="1" applyBorder="1" applyAlignment="1">
      <alignment horizontal="left"/>
    </xf>
    <xf numFmtId="1" fontId="34" fillId="0" borderId="27" xfId="4" applyNumberFormat="1" applyFont="1" applyBorder="1" applyAlignment="1">
      <alignment horizontal="left"/>
    </xf>
    <xf numFmtId="1" fontId="34" fillId="4" borderId="52" xfId="4" applyNumberFormat="1" applyFont="1" applyFill="1" applyBorder="1" applyAlignment="1">
      <alignment horizontal="left"/>
    </xf>
    <xf numFmtId="1" fontId="34" fillId="5" borderId="19" xfId="4" applyNumberFormat="1" applyFont="1" applyFill="1" applyBorder="1" applyAlignment="1">
      <alignment horizontal="left"/>
    </xf>
    <xf numFmtId="0" fontId="33" fillId="6" borderId="12" xfId="18" applyFont="1" applyFill="1" applyBorder="1" applyAlignment="1">
      <alignment horizontal="center" vertical="center" wrapText="1"/>
    </xf>
    <xf numFmtId="0" fontId="42" fillId="5" borderId="12" xfId="6" applyFont="1" applyFill="1" applyBorder="1" applyAlignment="1">
      <alignment wrapText="1"/>
    </xf>
    <xf numFmtId="0" fontId="42" fillId="4" borderId="0" xfId="6" applyFont="1" applyFill="1" applyBorder="1" applyAlignment="1">
      <alignment wrapText="1"/>
    </xf>
    <xf numFmtId="0" fontId="42" fillId="4" borderId="51" xfId="6" applyFont="1" applyFill="1" applyBorder="1" applyAlignment="1">
      <alignment wrapText="1"/>
    </xf>
    <xf numFmtId="0" fontId="42" fillId="5" borderId="9" xfId="6" applyFont="1" applyFill="1" applyBorder="1" applyAlignment="1">
      <alignment wrapText="1"/>
    </xf>
    <xf numFmtId="165" fontId="34" fillId="5" borderId="20" xfId="4" applyNumberFormat="1" applyFont="1" applyFill="1" applyBorder="1" applyAlignment="1">
      <alignment horizontal="left"/>
    </xf>
    <xf numFmtId="165" fontId="34" fillId="5" borderId="19" xfId="4" applyNumberFormat="1" applyFont="1" applyFill="1" applyBorder="1" applyAlignment="1">
      <alignment horizontal="left"/>
    </xf>
    <xf numFmtId="0" fontId="42" fillId="5" borderId="0" xfId="6" applyFont="1" applyFill="1" applyBorder="1" applyAlignment="1">
      <alignment wrapText="1"/>
    </xf>
    <xf numFmtId="0" fontId="34" fillId="22" borderId="17" xfId="18" applyFont="1" applyFill="1" applyBorder="1" applyAlignment="1">
      <alignment horizontal="center"/>
    </xf>
    <xf numFmtId="0" fontId="34" fillId="22" borderId="0" xfId="18" applyFont="1" applyFill="1" applyBorder="1" applyAlignment="1">
      <alignment horizontal="center"/>
    </xf>
    <xf numFmtId="0" fontId="41" fillId="26" borderId="17" xfId="18" applyFont="1" applyFill="1" applyBorder="1" applyAlignment="1">
      <alignment horizontal="right" vertical="center"/>
    </xf>
    <xf numFmtId="0" fontId="41" fillId="26" borderId="0" xfId="18" applyFont="1" applyFill="1" applyBorder="1" applyAlignment="1">
      <alignment horizontal="right" vertical="center"/>
    </xf>
    <xf numFmtId="0" fontId="41" fillId="26" borderId="18" xfId="18" applyFont="1" applyFill="1" applyBorder="1" applyAlignment="1">
      <alignment horizontal="right" vertical="center"/>
    </xf>
    <xf numFmtId="165" fontId="34" fillId="4" borderId="52" xfId="4" applyNumberFormat="1" applyFont="1" applyFill="1" applyBorder="1" applyAlignment="1">
      <alignment horizontal="left"/>
    </xf>
    <xf numFmtId="9" fontId="34" fillId="5" borderId="51" xfId="2" applyFont="1" applyFill="1" applyBorder="1" applyAlignment="1">
      <alignment horizontal="left" vertical="center"/>
    </xf>
    <xf numFmtId="9" fontId="34" fillId="5" borderId="50" xfId="2" applyFont="1" applyFill="1" applyBorder="1" applyAlignment="1">
      <alignment horizontal="left" vertical="center"/>
    </xf>
    <xf numFmtId="9" fontId="34" fillId="5" borderId="9" xfId="2" applyFont="1" applyFill="1" applyBorder="1" applyAlignment="1">
      <alignment horizontal="left" vertical="center"/>
    </xf>
    <xf numFmtId="9" fontId="34" fillId="5" borderId="21" xfId="2" applyFont="1" applyFill="1" applyBorder="1" applyAlignment="1">
      <alignment horizontal="left" vertical="center"/>
    </xf>
    <xf numFmtId="9" fontId="34" fillId="5" borderId="0" xfId="2" applyFont="1" applyFill="1" applyBorder="1" applyAlignment="1">
      <alignment horizontal="left" vertical="center"/>
    </xf>
    <xf numFmtId="165" fontId="34" fillId="4" borderId="19" xfId="4" applyNumberFormat="1" applyFont="1" applyFill="1" applyBorder="1" applyAlignment="1">
      <alignment horizontal="left"/>
    </xf>
    <xf numFmtId="9" fontId="40" fillId="5" borderId="23" xfId="2" applyFont="1" applyFill="1" applyBorder="1" applyAlignment="1">
      <alignment horizontal="left" vertical="center" wrapText="1"/>
    </xf>
    <xf numFmtId="9" fontId="40" fillId="5" borderId="12" xfId="2" applyFont="1" applyFill="1" applyBorder="1" applyAlignment="1">
      <alignment horizontal="left" vertical="center" wrapText="1"/>
    </xf>
    <xf numFmtId="9" fontId="40" fillId="5" borderId="16" xfId="2" applyFont="1" applyFill="1" applyBorder="1" applyAlignment="1">
      <alignment horizontal="left" vertical="center" wrapText="1"/>
    </xf>
    <xf numFmtId="9" fontId="40" fillId="5" borderId="35" xfId="2" applyFont="1" applyFill="1" applyBorder="1" applyAlignment="1">
      <alignment horizontal="left" vertical="center" wrapText="1"/>
    </xf>
    <xf numFmtId="9" fontId="40" fillId="5" borderId="3" xfId="2" applyFont="1" applyFill="1" applyBorder="1" applyAlignment="1">
      <alignment horizontal="left" vertical="center" wrapText="1"/>
    </xf>
    <xf numFmtId="9" fontId="40" fillId="5" borderId="36" xfId="2" applyFont="1" applyFill="1" applyBorder="1" applyAlignment="1">
      <alignment horizontal="left" vertical="center" wrapText="1"/>
    </xf>
    <xf numFmtId="9" fontId="34" fillId="4" borderId="23" xfId="2" applyFont="1" applyFill="1" applyBorder="1" applyAlignment="1">
      <alignment horizontal="center" vertical="center" wrapText="1"/>
    </xf>
    <xf numFmtId="9" fontId="34" fillId="4" borderId="12" xfId="2" applyFont="1" applyFill="1" applyBorder="1" applyAlignment="1">
      <alignment horizontal="center" vertical="center" wrapText="1"/>
    </xf>
    <xf numFmtId="9" fontId="34" fillId="4" borderId="16" xfId="2" applyFont="1" applyFill="1" applyBorder="1" applyAlignment="1">
      <alignment horizontal="center" vertical="center" wrapText="1"/>
    </xf>
    <xf numFmtId="9" fontId="34" fillId="4" borderId="35" xfId="2" applyFont="1" applyFill="1" applyBorder="1" applyAlignment="1">
      <alignment horizontal="center" vertical="center" wrapText="1"/>
    </xf>
    <xf numFmtId="9" fontId="34" fillId="4" borderId="3" xfId="2" applyFont="1" applyFill="1" applyBorder="1" applyAlignment="1">
      <alignment horizontal="center" vertical="center" wrapText="1"/>
    </xf>
    <xf numFmtId="9" fontId="34" fillId="4" borderId="36" xfId="2" applyFont="1" applyFill="1" applyBorder="1" applyAlignment="1">
      <alignment horizontal="center" vertical="center" wrapText="1"/>
    </xf>
    <xf numFmtId="0" fontId="60" fillId="5" borderId="12" xfId="0" applyFont="1" applyFill="1" applyBorder="1" applyAlignment="1">
      <alignment horizontal="left" vertical="top" wrapText="1"/>
    </xf>
    <xf numFmtId="0" fontId="60" fillId="5" borderId="0" xfId="0" applyFont="1" applyFill="1" applyBorder="1" applyAlignment="1">
      <alignment horizontal="left" vertical="top" wrapText="1"/>
    </xf>
    <xf numFmtId="0" fontId="39" fillId="5" borderId="0" xfId="0" applyFont="1" applyFill="1" applyAlignment="1">
      <alignment horizontal="center"/>
    </xf>
    <xf numFmtId="0" fontId="63" fillId="5" borderId="0" xfId="6" applyFont="1" applyFill="1" applyAlignment="1">
      <alignment horizontal="center" vertical="top" wrapText="1"/>
    </xf>
    <xf numFmtId="0" fontId="39" fillId="5" borderId="0" xfId="6" applyFont="1" applyFill="1" applyAlignment="1">
      <alignment horizontal="center" vertical="top"/>
    </xf>
    <xf numFmtId="9" fontId="40" fillId="5" borderId="20" xfId="2" applyFont="1" applyFill="1" applyBorder="1" applyAlignment="1">
      <alignment horizontal="left" vertical="center" wrapText="1"/>
    </xf>
    <xf numFmtId="0" fontId="57" fillId="5" borderId="0" xfId="0" applyFont="1" applyFill="1" applyAlignment="1">
      <alignment horizontal="center" vertical="top" wrapText="1"/>
    </xf>
    <xf numFmtId="0" fontId="42" fillId="4" borderId="24" xfId="6" applyFont="1" applyFill="1" applyBorder="1" applyAlignment="1">
      <alignment wrapText="1"/>
    </xf>
    <xf numFmtId="0" fontId="34" fillId="5" borderId="19" xfId="4" applyNumberFormat="1" applyFont="1" applyFill="1" applyBorder="1" applyAlignment="1">
      <alignment horizontal="left"/>
    </xf>
    <xf numFmtId="0" fontId="34" fillId="5" borderId="22" xfId="2" applyNumberFormat="1" applyFont="1" applyFill="1" applyBorder="1" applyAlignment="1">
      <alignment horizontal="center"/>
    </xf>
    <xf numFmtId="0" fontId="34" fillId="5" borderId="9" xfId="2" applyNumberFormat="1" applyFont="1" applyFill="1" applyBorder="1" applyAlignment="1">
      <alignment horizontal="center"/>
    </xf>
    <xf numFmtId="0" fontId="34" fillId="5" borderId="21" xfId="2" applyNumberFormat="1" applyFont="1" applyFill="1" applyBorder="1" applyAlignment="1">
      <alignment horizontal="center"/>
    </xf>
    <xf numFmtId="0" fontId="34" fillId="5" borderId="20" xfId="4" applyNumberFormat="1" applyFont="1" applyFill="1" applyBorder="1" applyAlignment="1">
      <alignment horizontal="left"/>
    </xf>
    <xf numFmtId="9" fontId="34" fillId="5" borderId="24" xfId="2" applyFont="1" applyFill="1" applyBorder="1" applyAlignment="1">
      <alignment horizontal="left" vertical="center"/>
    </xf>
    <xf numFmtId="9" fontId="34" fillId="5" borderId="26" xfId="2" applyFont="1" applyFill="1" applyBorder="1" applyAlignment="1">
      <alignment horizontal="left" vertical="center"/>
    </xf>
    <xf numFmtId="0" fontId="34" fillId="4" borderId="19" xfId="4" applyNumberFormat="1" applyFont="1" applyFill="1" applyBorder="1" applyAlignment="1">
      <alignment horizontal="left"/>
    </xf>
    <xf numFmtId="9" fontId="40" fillId="5" borderId="25" xfId="2" applyFont="1" applyFill="1" applyBorder="1" applyAlignment="1">
      <alignment horizontal="left" vertical="center" wrapText="1"/>
    </xf>
    <xf numFmtId="9" fontId="40" fillId="5" borderId="24" xfId="2" applyFont="1" applyFill="1" applyBorder="1" applyAlignment="1">
      <alignment horizontal="left" vertical="center" wrapText="1"/>
    </xf>
    <xf numFmtId="9" fontId="40" fillId="5" borderId="26" xfId="2" applyFont="1" applyFill="1" applyBorder="1" applyAlignment="1">
      <alignment horizontal="left" vertical="center" wrapText="1"/>
    </xf>
    <xf numFmtId="9" fontId="34" fillId="4" borderId="25" xfId="2" applyFont="1" applyFill="1" applyBorder="1" applyAlignment="1">
      <alignment horizontal="center" vertical="center" wrapText="1"/>
    </xf>
    <xf numFmtId="9" fontId="34" fillId="4" borderId="24" xfId="2" applyFont="1" applyFill="1" applyBorder="1" applyAlignment="1">
      <alignment horizontal="center" vertical="center" wrapText="1"/>
    </xf>
    <xf numFmtId="9" fontId="34" fillId="4" borderId="26" xfId="2" applyFont="1" applyFill="1" applyBorder="1" applyAlignment="1">
      <alignment horizontal="center" vertical="center" wrapText="1"/>
    </xf>
    <xf numFmtId="0" fontId="57" fillId="5" borderId="0" xfId="0" applyFont="1" applyFill="1" applyAlignment="1">
      <alignment vertical="top" wrapText="1"/>
    </xf>
    <xf numFmtId="0" fontId="62" fillId="58" borderId="0" xfId="0" applyFont="1" applyFill="1" applyAlignment="1">
      <alignment vertical="center" wrapText="1"/>
    </xf>
    <xf numFmtId="9" fontId="40" fillId="5" borderId="30" xfId="2" applyFont="1" applyFill="1" applyBorder="1" applyAlignment="1">
      <alignment horizontal="left" vertical="center" wrapText="1"/>
    </xf>
    <xf numFmtId="0" fontId="33" fillId="6" borderId="28" xfId="18" applyFont="1" applyFill="1" applyBorder="1" applyAlignment="1">
      <alignment horizontal="center" vertical="center" wrapText="1"/>
    </xf>
    <xf numFmtId="0" fontId="33" fillId="6" borderId="6" xfId="18" applyFont="1" applyFill="1" applyBorder="1" applyAlignment="1">
      <alignment horizontal="center" vertical="center" wrapText="1"/>
    </xf>
    <xf numFmtId="0" fontId="33" fillId="6" borderId="29" xfId="18" applyFont="1" applyFill="1" applyBorder="1" applyAlignment="1">
      <alignment horizontal="center" vertical="center" wrapText="1"/>
    </xf>
    <xf numFmtId="9" fontId="34" fillId="4" borderId="32" xfId="2" applyFont="1" applyFill="1" applyBorder="1" applyAlignment="1">
      <alignment horizontal="center" vertical="center" wrapText="1"/>
    </xf>
    <xf numFmtId="9" fontId="34" fillId="4" borderId="33" xfId="2" applyFont="1" applyFill="1" applyBorder="1" applyAlignment="1">
      <alignment horizontal="center" vertical="center" wrapText="1"/>
    </xf>
    <xf numFmtId="9" fontId="34" fillId="4" borderId="34" xfId="2" applyFont="1" applyFill="1" applyBorder="1" applyAlignment="1">
      <alignment horizontal="center" vertical="center" wrapText="1"/>
    </xf>
    <xf numFmtId="0" fontId="66" fillId="5" borderId="32" xfId="2" applyNumberFormat="1" applyFont="1" applyFill="1" applyBorder="1" applyAlignment="1">
      <alignment horizontal="center" vertical="center" wrapText="1"/>
    </xf>
    <xf numFmtId="0" fontId="66" fillId="5" borderId="33" xfId="2" applyNumberFormat="1" applyFont="1" applyFill="1" applyBorder="1" applyAlignment="1">
      <alignment horizontal="center" vertical="center" wrapText="1"/>
    </xf>
    <xf numFmtId="0" fontId="66" fillId="5" borderId="34" xfId="2" applyNumberFormat="1" applyFont="1" applyFill="1" applyBorder="1" applyAlignment="1">
      <alignment horizontal="center" vertical="center" wrapText="1"/>
    </xf>
    <xf numFmtId="9" fontId="34" fillId="5" borderId="32" xfId="2" applyFont="1" applyFill="1" applyBorder="1" applyAlignment="1">
      <alignment horizontal="center" vertical="center" wrapText="1"/>
    </xf>
    <xf numFmtId="9" fontId="34" fillId="5" borderId="33" xfId="2" applyFont="1" applyFill="1" applyBorder="1" applyAlignment="1">
      <alignment horizontal="center" vertical="center" wrapText="1"/>
    </xf>
    <xf numFmtId="9" fontId="34" fillId="5" borderId="34" xfId="2" applyFont="1" applyFill="1" applyBorder="1" applyAlignment="1">
      <alignment horizontal="center" vertical="center" wrapText="1"/>
    </xf>
    <xf numFmtId="0" fontId="34" fillId="5" borderId="28" xfId="2" applyNumberFormat="1" applyFont="1" applyFill="1" applyBorder="1" applyAlignment="1">
      <alignment horizontal="center" vertical="center" wrapText="1"/>
    </xf>
    <xf numFmtId="0" fontId="34" fillId="5" borderId="6" xfId="2" applyNumberFormat="1" applyFont="1" applyFill="1" applyBorder="1" applyAlignment="1">
      <alignment horizontal="center" vertical="center" wrapText="1"/>
    </xf>
    <xf numFmtId="0" fontId="34" fillId="5" borderId="29" xfId="2" applyNumberFormat="1" applyFont="1" applyFill="1" applyBorder="1" applyAlignment="1">
      <alignment horizontal="center" vertical="center" wrapText="1"/>
    </xf>
    <xf numFmtId="9" fontId="34" fillId="4" borderId="37" xfId="2" applyFont="1" applyFill="1" applyBorder="1" applyAlignment="1">
      <alignment horizontal="center" vertical="center" wrapText="1"/>
    </xf>
    <xf numFmtId="9" fontId="34" fillId="4" borderId="38" xfId="2" applyFont="1" applyFill="1" applyBorder="1" applyAlignment="1">
      <alignment horizontal="center" vertical="center" wrapText="1"/>
    </xf>
    <xf numFmtId="9" fontId="34" fillId="4" borderId="39" xfId="2" applyFont="1" applyFill="1" applyBorder="1" applyAlignment="1">
      <alignment horizontal="center" vertical="center" wrapText="1"/>
    </xf>
    <xf numFmtId="9" fontId="40" fillId="5" borderId="31" xfId="2" applyFont="1" applyFill="1" applyBorder="1" applyAlignment="1">
      <alignment horizontal="left" vertical="center" wrapText="1"/>
    </xf>
    <xf numFmtId="9" fontId="40" fillId="5" borderId="19" xfId="2" applyFont="1" applyFill="1" applyBorder="1" applyAlignment="1">
      <alignment horizontal="left" vertical="center" wrapText="1"/>
    </xf>
    <xf numFmtId="9" fontId="40" fillId="5" borderId="17" xfId="2" applyFont="1" applyFill="1" applyBorder="1" applyAlignment="1">
      <alignment horizontal="left" vertical="center" wrapText="1"/>
    </xf>
    <xf numFmtId="9" fontId="34" fillId="4" borderId="0" xfId="2" applyFont="1" applyFill="1" applyBorder="1" applyAlignment="1">
      <alignment horizontal="center" vertical="center" wrapText="1"/>
    </xf>
    <xf numFmtId="0" fontId="34" fillId="0" borderId="23" xfId="2" applyNumberFormat="1" applyFont="1" applyBorder="1" applyAlignment="1">
      <alignment horizontal="center"/>
    </xf>
    <xf numFmtId="0" fontId="34" fillId="0" borderId="12" xfId="2" applyNumberFormat="1" applyFont="1" applyBorder="1" applyAlignment="1">
      <alignment horizontal="center"/>
    </xf>
    <xf numFmtId="0" fontId="34" fillId="0" borderId="16" xfId="2" applyNumberFormat="1" applyFont="1" applyBorder="1" applyAlignment="1">
      <alignment horizontal="center"/>
    </xf>
    <xf numFmtId="165" fontId="34" fillId="0" borderId="27" xfId="4" applyNumberFormat="1" applyFont="1" applyBorder="1" applyAlignment="1">
      <alignment horizontal="left"/>
    </xf>
    <xf numFmtId="2" fontId="34" fillId="4" borderId="19" xfId="4" applyNumberFormat="1" applyFont="1" applyFill="1" applyBorder="1" applyAlignment="1">
      <alignment horizontal="left"/>
    </xf>
    <xf numFmtId="0" fontId="34" fillId="4" borderId="17" xfId="2" applyNumberFormat="1" applyFont="1" applyFill="1" applyBorder="1" applyAlignment="1">
      <alignment horizontal="center"/>
    </xf>
    <xf numFmtId="0" fontId="34" fillId="4" borderId="0" xfId="2" applyNumberFormat="1" applyFont="1" applyFill="1" applyBorder="1" applyAlignment="1">
      <alignment horizontal="center"/>
    </xf>
    <xf numFmtId="0" fontId="34" fillId="4" borderId="18" xfId="2" applyNumberFormat="1" applyFont="1" applyFill="1" applyBorder="1" applyAlignment="1">
      <alignment horizontal="center"/>
    </xf>
    <xf numFmtId="165" fontId="34" fillId="4" borderId="48" xfId="4" applyNumberFormat="1" applyFont="1" applyFill="1" applyBorder="1" applyAlignment="1">
      <alignment horizontal="left"/>
    </xf>
    <xf numFmtId="0" fontId="34" fillId="4" borderId="53" xfId="2" applyNumberFormat="1" applyFont="1" applyFill="1" applyBorder="1" applyAlignment="1">
      <alignment horizontal="center"/>
    </xf>
    <xf numFmtId="0" fontId="34" fillId="4" borderId="51" xfId="2" applyNumberFormat="1" applyFont="1" applyFill="1" applyBorder="1" applyAlignment="1">
      <alignment horizontal="center"/>
    </xf>
    <xf numFmtId="0" fontId="34" fillId="4" borderId="50" xfId="2" applyNumberFormat="1" applyFont="1" applyFill="1" applyBorder="1" applyAlignment="1">
      <alignment horizontal="center"/>
    </xf>
    <xf numFmtId="9" fontId="34" fillId="5" borderId="12" xfId="2" applyFont="1" applyFill="1" applyBorder="1" applyAlignment="1">
      <alignment horizontal="left" vertical="center"/>
    </xf>
    <xf numFmtId="9" fontId="34" fillId="5" borderId="16" xfId="2" applyFont="1" applyFill="1" applyBorder="1" applyAlignment="1">
      <alignment horizontal="left" vertical="center"/>
    </xf>
    <xf numFmtId="9" fontId="34" fillId="5" borderId="18" xfId="2" applyFont="1" applyFill="1" applyBorder="1" applyAlignment="1">
      <alignment horizontal="left" vertical="center"/>
    </xf>
    <xf numFmtId="0" fontId="57" fillId="5" borderId="0" xfId="0" applyFont="1" applyFill="1" applyAlignment="1">
      <alignment horizontal="center" vertical="center" wrapText="1"/>
    </xf>
    <xf numFmtId="0" fontId="0" fillId="5" borderId="12" xfId="0" applyFill="1" applyBorder="1" applyAlignment="1">
      <alignment horizontal="left" vertical="top" wrapText="1"/>
    </xf>
    <xf numFmtId="0" fontId="0" fillId="5" borderId="12" xfId="0" applyFill="1" applyBorder="1" applyAlignment="1">
      <alignment horizontal="left" vertical="top"/>
    </xf>
    <xf numFmtId="0" fontId="0" fillId="5" borderId="0" xfId="0" applyFill="1" applyBorder="1" applyAlignment="1">
      <alignment horizontal="left" vertical="top"/>
    </xf>
    <xf numFmtId="0" fontId="35" fillId="5" borderId="3" xfId="0" applyFont="1" applyFill="1" applyBorder="1" applyAlignment="1">
      <alignment horizontal="left"/>
    </xf>
    <xf numFmtId="0" fontId="0" fillId="5" borderId="12" xfId="0" applyFill="1" applyBorder="1" applyAlignment="1">
      <alignment horizontal="left" wrapText="1"/>
    </xf>
    <xf numFmtId="0" fontId="0" fillId="5" borderId="12" xfId="0" applyFill="1" applyBorder="1" applyAlignment="1">
      <alignment horizontal="left"/>
    </xf>
    <xf numFmtId="0" fontId="0" fillId="5" borderId="0" xfId="0" applyFill="1" applyBorder="1" applyAlignment="1">
      <alignment horizontal="left"/>
    </xf>
    <xf numFmtId="9" fontId="34" fillId="5" borderId="17" xfId="2" applyFont="1" applyFill="1" applyBorder="1" applyAlignment="1">
      <alignment horizontal="center" vertical="center" wrapText="1"/>
    </xf>
    <xf numFmtId="9" fontId="34" fillId="5" borderId="0" xfId="2" applyFont="1" applyFill="1" applyBorder="1" applyAlignment="1">
      <alignment horizontal="center" vertical="center" wrapText="1"/>
    </xf>
    <xf numFmtId="9" fontId="34" fillId="5" borderId="18" xfId="2" applyFont="1" applyFill="1" applyBorder="1" applyAlignment="1">
      <alignment horizontal="center" vertical="center" wrapText="1"/>
    </xf>
    <xf numFmtId="9" fontId="34" fillId="5" borderId="22" xfId="2" applyFont="1" applyFill="1" applyBorder="1" applyAlignment="1">
      <alignment horizontal="center" vertical="center" wrapText="1"/>
    </xf>
    <xf numFmtId="9" fontId="34" fillId="5" borderId="9" xfId="2" applyFont="1" applyFill="1" applyBorder="1" applyAlignment="1">
      <alignment horizontal="center" vertical="center" wrapText="1"/>
    </xf>
    <xf numFmtId="9" fontId="34" fillId="5" borderId="21" xfId="2" applyFont="1" applyFill="1" applyBorder="1" applyAlignment="1">
      <alignment horizontal="center" vertical="center" wrapText="1"/>
    </xf>
    <xf numFmtId="9" fontId="34" fillId="5" borderId="25" xfId="2" applyFont="1" applyFill="1" applyBorder="1" applyAlignment="1">
      <alignment horizontal="center" vertical="center" wrapText="1"/>
    </xf>
    <xf numFmtId="9" fontId="34" fillId="5" borderId="24" xfId="2" applyFont="1" applyFill="1" applyBorder="1" applyAlignment="1">
      <alignment horizontal="center" vertical="center" wrapText="1"/>
    </xf>
    <xf numFmtId="9" fontId="34" fillId="5" borderId="26" xfId="2" applyFont="1" applyFill="1" applyBorder="1" applyAlignment="1">
      <alignment horizontal="center" vertical="center" wrapText="1"/>
    </xf>
    <xf numFmtId="9" fontId="34" fillId="4" borderId="28" xfId="2" applyFont="1" applyFill="1" applyBorder="1" applyAlignment="1">
      <alignment horizontal="center" vertical="center" wrapText="1"/>
    </xf>
    <xf numFmtId="9" fontId="34" fillId="4" borderId="6" xfId="2" applyFont="1" applyFill="1" applyBorder="1" applyAlignment="1">
      <alignment horizontal="center" vertical="center" wrapText="1"/>
    </xf>
    <xf numFmtId="9" fontId="34" fillId="4" borderId="29" xfId="2" applyFont="1" applyFill="1" applyBorder="1" applyAlignment="1">
      <alignment horizontal="center" vertical="center" wrapText="1"/>
    </xf>
    <xf numFmtId="0" fontId="66" fillId="5" borderId="28" xfId="2" applyNumberFormat="1" applyFont="1" applyFill="1" applyBorder="1" applyAlignment="1">
      <alignment horizontal="center" vertical="center" wrapText="1"/>
    </xf>
    <xf numFmtId="0" fontId="66" fillId="5" borderId="6" xfId="2" applyNumberFormat="1" applyFont="1" applyFill="1" applyBorder="1" applyAlignment="1">
      <alignment horizontal="center" vertical="center" wrapText="1"/>
    </xf>
    <xf numFmtId="0" fontId="66" fillId="5" borderId="29" xfId="2" applyNumberFormat="1" applyFont="1" applyFill="1" applyBorder="1" applyAlignment="1">
      <alignment horizontal="center" vertical="center" wrapText="1"/>
    </xf>
    <xf numFmtId="0" fontId="0" fillId="23" borderId="0" xfId="0" applyFill="1" applyAlignment="1">
      <alignment horizontal="center" vertical="center"/>
    </xf>
    <xf numFmtId="0" fontId="39" fillId="5" borderId="0" xfId="6" applyFont="1" applyFill="1" applyAlignment="1">
      <alignment horizontal="center" vertical="center"/>
    </xf>
    <xf numFmtId="0" fontId="39" fillId="5" borderId="0" xfId="0" applyFont="1" applyFill="1" applyAlignment="1">
      <alignment horizontal="center" vertical="center"/>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35" fillId="5" borderId="3" xfId="0" applyFont="1" applyFill="1" applyBorder="1" applyAlignment="1">
      <alignment horizontal="left" wrapText="1"/>
    </xf>
    <xf numFmtId="0" fontId="62" fillId="5" borderId="0" xfId="0" applyFont="1" applyFill="1" applyAlignment="1">
      <alignment vertical="center" wrapText="1"/>
    </xf>
    <xf numFmtId="2" fontId="34" fillId="5" borderId="20" xfId="4" applyNumberFormat="1" applyFont="1" applyFill="1" applyBorder="1" applyAlignment="1">
      <alignment horizontal="left"/>
    </xf>
    <xf numFmtId="2" fontId="34" fillId="4" borderId="52" xfId="4" applyNumberFormat="1" applyFont="1" applyFill="1" applyBorder="1" applyAlignment="1">
      <alignment horizontal="left"/>
    </xf>
    <xf numFmtId="0" fontId="34" fillId="22" borderId="23" xfId="18" applyFont="1" applyFill="1" applyBorder="1" applyAlignment="1">
      <alignment horizontal="center"/>
    </xf>
    <xf numFmtId="0" fontId="34" fillId="22" borderId="12" xfId="18" applyFont="1" applyFill="1" applyBorder="1" applyAlignment="1">
      <alignment horizontal="center"/>
    </xf>
    <xf numFmtId="0" fontId="63" fillId="0" borderId="0" xfId="0" applyFont="1" applyAlignment="1">
      <alignment horizontal="left" vertical="top" wrapText="1"/>
    </xf>
    <xf numFmtId="0" fontId="0" fillId="6" borderId="9" xfId="0" applyFill="1" applyBorder="1" applyAlignment="1">
      <alignment horizontal="center"/>
    </xf>
    <xf numFmtId="0" fontId="0" fillId="6" borderId="0" xfId="0" applyFill="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21" fillId="17" borderId="6" xfId="0" applyNumberFormat="1" applyFont="1" applyFill="1" applyBorder="1" applyAlignment="1" applyProtection="1">
      <alignment horizontal="center" vertical="center" wrapText="1"/>
    </xf>
    <xf numFmtId="0" fontId="25" fillId="19" borderId="1" xfId="1" applyFont="1" applyFill="1" applyBorder="1" applyAlignment="1">
      <alignment horizontal="center"/>
    </xf>
    <xf numFmtId="0" fontId="21" fillId="21" borderId="1" xfId="1" applyFont="1" applyFill="1" applyBorder="1" applyAlignment="1">
      <alignment horizontal="center" vertical="center"/>
    </xf>
    <xf numFmtId="0" fontId="25" fillId="4" borderId="1" xfId="1" applyFont="1" applyFill="1" applyBorder="1" applyAlignment="1">
      <alignment horizontal="center" wrapText="1"/>
    </xf>
    <xf numFmtId="0" fontId="25" fillId="11" borderId="1" xfId="1" applyFont="1" applyFill="1" applyBorder="1" applyAlignment="1">
      <alignment horizontal="center" wrapText="1"/>
    </xf>
    <xf numFmtId="0" fontId="25" fillId="18" borderId="4" xfId="1" applyFont="1" applyFill="1" applyBorder="1" applyAlignment="1">
      <alignment horizontal="center" wrapText="1"/>
    </xf>
    <xf numFmtId="0" fontId="25" fillId="18" borderId="5" xfId="1" applyFont="1" applyFill="1" applyBorder="1" applyAlignment="1">
      <alignment horizontal="center" wrapText="1"/>
    </xf>
    <xf numFmtId="0" fontId="25" fillId="14" borderId="6" xfId="1" applyFont="1" applyFill="1" applyBorder="1" applyAlignment="1">
      <alignment horizontal="center" wrapText="1"/>
    </xf>
    <xf numFmtId="0" fontId="25" fillId="14" borderId="5" xfId="1" applyFont="1" applyFill="1" applyBorder="1" applyAlignment="1">
      <alignment horizontal="center" wrapText="1"/>
    </xf>
    <xf numFmtId="0" fontId="29" fillId="7" borderId="1" xfId="0" applyNumberFormat="1" applyFont="1" applyFill="1" applyBorder="1" applyAlignment="1" applyProtection="1">
      <alignment horizontal="center" vertical="center" wrapText="1"/>
    </xf>
    <xf numFmtId="0" fontId="25" fillId="9" borderId="1" xfId="1" applyFont="1" applyFill="1" applyBorder="1" applyAlignment="1">
      <alignment horizontal="center" wrapText="1"/>
    </xf>
    <xf numFmtId="0" fontId="25" fillId="18" borderId="6" xfId="1" applyFont="1" applyFill="1" applyBorder="1" applyAlignment="1">
      <alignment horizontal="center" wrapText="1"/>
    </xf>
    <xf numFmtId="0" fontId="21" fillId="17" borderId="4" xfId="0" applyNumberFormat="1" applyFont="1" applyFill="1" applyBorder="1" applyAlignment="1" applyProtection="1">
      <alignment horizontal="center" vertical="center" wrapText="1"/>
    </xf>
    <xf numFmtId="0" fontId="25" fillId="4" borderId="2" xfId="20" applyFont="1" applyFill="1" applyBorder="1" applyAlignment="1">
      <alignment horizontal="center" vertical="top" wrapText="1"/>
    </xf>
    <xf numFmtId="0" fontId="25" fillId="4" borderId="7" xfId="20" applyFont="1" applyFill="1" applyBorder="1" applyAlignment="1">
      <alignment horizontal="center" vertical="top" wrapText="1"/>
    </xf>
    <xf numFmtId="0" fontId="0" fillId="0" borderId="0" xfId="0" applyFill="1" applyAlignment="1">
      <alignment horizontal="left" vertical="top" wrapText="1"/>
    </xf>
    <xf numFmtId="0" fontId="0" fillId="0" borderId="0" xfId="0" applyAlignment="1">
      <alignment horizontal="left" vertical="top" wrapText="1"/>
    </xf>
    <xf numFmtId="0" fontId="10" fillId="2" borderId="0" xfId="19" applyFont="1" applyFill="1" applyBorder="1" applyAlignment="1">
      <alignment horizontal="center" wrapText="1"/>
    </xf>
  </cellXfs>
  <cellStyles count="63">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eck Cell" xfId="32" builtinId="23" customBuiltin="1"/>
    <cellStyle name="Comma" xfId="17" builtinId="3"/>
    <cellStyle name="Currency" xfId="4" builtinId="4"/>
    <cellStyle name="Currency 2" xfId="12"/>
    <cellStyle name="Explanatory Text" xfId="34" builtinId="53" customBuiltin="1"/>
    <cellStyle name="Followed Hyperlink" xfId="16" builtinId="9" customBuiltin="1"/>
    <cellStyle name="Good" xfId="25" builtinId="26" customBuiltin="1"/>
    <cellStyle name="Heading 1" xfId="22" builtinId="16" customBuiltin="1"/>
    <cellStyle name="Heading 2" xfId="5" builtinId="17" customBuiltin="1"/>
    <cellStyle name="Heading 3" xfId="23" builtinId="18" customBuiltin="1"/>
    <cellStyle name="Heading 4" xfId="24" builtinId="19" customBuiltin="1"/>
    <cellStyle name="Hyperlink" xfId="6" builtinId="8"/>
    <cellStyle name="Input" xfId="28" builtinId="20" customBuiltin="1"/>
    <cellStyle name="Linked Cell" xfId="31" builtinId="24" customBuiltin="1"/>
    <cellStyle name="Neutral" xfId="27" builtinId="28" customBuiltin="1"/>
    <cellStyle name="Normal" xfId="0" builtinId="0"/>
    <cellStyle name="Normal 2" xfId="1"/>
    <cellStyle name="Normal 2 2" xfId="3"/>
    <cellStyle name="Normal 2 2 2" xfId="11"/>
    <cellStyle name="Normal 2 2 3" xfId="15"/>
    <cellStyle name="Normal 2 3" xfId="9"/>
    <cellStyle name="Normal 2 4" xfId="14"/>
    <cellStyle name="Normal 2 5" xfId="19"/>
    <cellStyle name="Normal 2 6" xfId="20"/>
    <cellStyle name="Normal 3" xfId="8"/>
    <cellStyle name="Normal 4" xfId="7"/>
    <cellStyle name="Normal 5" xfId="13"/>
    <cellStyle name="Normal 6" xfId="60"/>
    <cellStyle name="Normal 7" xfId="18"/>
    <cellStyle name="Note 2" xfId="62"/>
    <cellStyle name="Output" xfId="29" builtinId="21" customBuiltin="1"/>
    <cellStyle name="Percent" xfId="2" builtinId="5"/>
    <cellStyle name="Percent 2" xfId="10"/>
    <cellStyle name="Percent 3" xfId="61"/>
    <cellStyle name="Title" xfId="21" builtinId="15" customBuiltin="1"/>
    <cellStyle name="Total" xfId="35" builtinId="25" customBuiltin="1"/>
    <cellStyle name="Warning Text" xfId="33"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2" formatCode="mmm\-yy"/>
    </dxf>
    <dxf>
      <numFmt numFmtId="2" formatCode="0.00"/>
    </dxf>
    <dxf>
      <font>
        <b val="0"/>
        <i val="0"/>
        <strike val="0"/>
        <condense val="0"/>
        <extend val="0"/>
        <outline val="0"/>
        <shadow val="0"/>
        <u val="none"/>
        <vertAlign val="baseline"/>
        <sz val="11"/>
        <color theme="1"/>
        <name val="Calibri"/>
        <scheme val="minor"/>
      </font>
    </dxf>
    <dxf>
      <fill>
        <patternFill patternType="solid">
          <fgColor indexed="64"/>
          <bgColor theme="3" tint="0.59999389629810485"/>
        </patternFill>
      </fill>
    </dxf>
    <dxf>
      <fill>
        <patternFill>
          <bgColor rgb="FFFF0000"/>
        </patternFill>
      </fill>
    </dxf>
    <dxf>
      <border>
        <left style="thin">
          <color auto="1"/>
        </left>
        <right style="thin">
          <color auto="1"/>
        </right>
        <top style="thin">
          <color auto="1"/>
        </top>
        <bottom style="thin">
          <color auto="1"/>
        </bottom>
      </border>
    </dxf>
  </dxfs>
  <tableStyles count="6" defaultTableStyle="TableStyleMedium2" defaultPivotStyle="PivotStyleLight16">
    <tableStyle name="Slicer Style 1" pivot="0" table="0" count="1">
      <tableStyleElement type="wholeTable" dxfId="14"/>
    </tableStyle>
    <tableStyle name="Slicer Style 2" pivot="0" table="0" count="1"/>
    <tableStyle name="Slicer Style 3" pivot="0" table="0" count="1">
      <tableStyleElement type="wholeTable" dxfId="13"/>
    </tableStyle>
    <tableStyle name="Slicer Style 4" pivot="0" table="0" count="2"/>
    <tableStyle name="Slicer Style 5" pivot="0" table="0" count="1"/>
    <tableStyle name="Slicer Style 6" pivot="0" table="0" count="1"/>
  </tableStyles>
  <colors>
    <mruColors>
      <color rgb="FF2592FF"/>
      <color rgb="FF99CCFF"/>
      <color rgb="FFFFE38B"/>
      <color rgb="FFFF0000"/>
      <color rgb="FF53A9FF"/>
      <color rgb="FFFFD757"/>
      <color rgb="FFF73186"/>
      <color rgb="FF6699FF"/>
      <color rgb="FFFF85B6"/>
    </mruColors>
  </colors>
  <extLst>
    <ext xmlns:x14="http://schemas.microsoft.com/office/spreadsheetml/2009/9/main" uri="{46F421CA-312F-682f-3DD2-61675219B42D}">
      <x14:dxfs count="5">
        <dxf>
          <font>
            <color theme="0"/>
          </font>
        </dxf>
        <dxf>
          <fill>
            <patternFill>
              <bgColor theme="0" tint="-0.24994659260841701"/>
            </patternFill>
          </fill>
        </dxf>
        <dxf>
          <fill>
            <patternFill>
              <bgColor rgb="FFFF85B6"/>
            </patternFill>
          </fill>
        </dxf>
        <dxf>
          <fill>
            <patternFill>
              <bgColor rgb="FFF73186"/>
            </patternFill>
          </fill>
          <border>
            <left/>
            <right/>
            <top/>
            <bottom/>
          </border>
        </dxf>
        <dxf>
          <border diagonalUp="0" diagonalDown="0">
            <left/>
            <right/>
            <top/>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Elements>
            <x14:slicerStyleElement type="selectedItemWithData" dxfId="4"/>
          </x14:slicerStyleElements>
        </x14:slicerStyle>
        <x14:slicerStyle name="Slicer Style 3"/>
        <x14:slicerStyle name="Slicer Style 4">
          <x14:slicerStyleElements>
            <x14:slicerStyleElement type="selectedItemWithData" dxfId="3"/>
            <x14:slicerStyleElement type="selectedItemWithNoData" dxfId="2"/>
          </x14:slicerStyleElements>
        </x14:slicerStyle>
        <x14:slicerStyle name="Slicer Style 5">
          <x14:slicerStyleElements>
            <x14:slicerStyleElement type="selectedItemWithData" dxfId="1"/>
          </x14:slicerStyleElements>
        </x14:slicerStyle>
        <x14:slicerStyle name="Slicer Style 6">
          <x14:slicerStyleElements>
            <x14:slicerStyleElement type="un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Combined Energy Factor Standards and Qualifications</a:t>
            </a:r>
          </a:p>
        </c:rich>
      </c:tx>
      <c:layout>
        <c:manualLayout>
          <c:xMode val="edge"/>
          <c:yMode val="edge"/>
          <c:x val="0.22197095211254775"/>
          <c:y val="2.89135262774427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0243832438753963"/>
          <c:y val="0.23421869801486078"/>
          <c:w val="0.52058112725147743"/>
          <c:h val="0.39932239103914829"/>
        </c:manualLayout>
      </c:layout>
      <c:barChart>
        <c:barDir val="col"/>
        <c:grouping val="clustered"/>
        <c:varyColors val="0"/>
        <c:ser>
          <c:idx val="0"/>
          <c:order val="0"/>
          <c:tx>
            <c:strRef>
              <c:f>'Intermediate Data'!$B$22</c:f>
              <c:strCache>
                <c:ptCount val="1"/>
                <c:pt idx="0">
                  <c:v>DOE 1994*</c:v>
                </c:pt>
              </c:strCache>
            </c:strRef>
          </c:tx>
          <c:spPr>
            <a:solidFill>
              <a:schemeClr val="bg1">
                <a:lumMod val="75000"/>
              </a:schemeClr>
            </a:solidFill>
            <a:ln>
              <a:noFill/>
            </a:ln>
            <a:effectLst/>
          </c:spPr>
          <c:invertIfNegative val="0"/>
          <c:cat>
            <c:strRef>
              <c:f>'Intermediate Data'!$A$23:$A$27</c:f>
              <c:strCache>
                <c:ptCount val="5"/>
                <c:pt idx="0">
                  <c:v>Standard Vented Electric</c:v>
                </c:pt>
                <c:pt idx="1">
                  <c:v>Compact Vented Electric (120V)</c:v>
                </c:pt>
                <c:pt idx="2">
                  <c:v>Compact Vented Electric (240V)</c:v>
                </c:pt>
                <c:pt idx="3">
                  <c:v>Compact Ventless Electric (240V)</c:v>
                </c:pt>
                <c:pt idx="4">
                  <c:v>Vented Gas</c:v>
                </c:pt>
              </c:strCache>
            </c:strRef>
          </c:cat>
          <c:val>
            <c:numRef>
              <c:f>'Intermediate Data'!$B$23:$B$27</c:f>
              <c:numCache>
                <c:formatCode>General</c:formatCode>
                <c:ptCount val="5"/>
                <c:pt idx="0">
                  <c:v>3.01</c:v>
                </c:pt>
                <c:pt idx="1">
                  <c:v>3.13</c:v>
                </c:pt>
                <c:pt idx="2" formatCode="0.00">
                  <c:v>2.9</c:v>
                </c:pt>
                <c:pt idx="3" formatCode="0.00">
                  <c:v>2.9</c:v>
                </c:pt>
                <c:pt idx="4">
                  <c:v>2.67</c:v>
                </c:pt>
              </c:numCache>
            </c:numRef>
          </c:val>
        </c:ser>
        <c:ser>
          <c:idx val="1"/>
          <c:order val="1"/>
          <c:tx>
            <c:strRef>
              <c:f>'Intermediate Data'!$C$22</c:f>
              <c:strCache>
                <c:ptCount val="1"/>
                <c:pt idx="0">
                  <c:v>DOE 2015 (Current Standard)</c:v>
                </c:pt>
              </c:strCache>
            </c:strRef>
          </c:tx>
          <c:spPr>
            <a:solidFill>
              <a:schemeClr val="tx1">
                <a:lumMod val="65000"/>
                <a:lumOff val="35000"/>
              </a:schemeClr>
            </a:solidFill>
            <a:ln>
              <a:noFill/>
            </a:ln>
            <a:effectLst/>
          </c:spPr>
          <c:invertIfNegative val="0"/>
          <c:cat>
            <c:strRef>
              <c:f>'Intermediate Data'!$A$23:$A$27</c:f>
              <c:strCache>
                <c:ptCount val="5"/>
                <c:pt idx="0">
                  <c:v>Standard Vented Electric</c:v>
                </c:pt>
                <c:pt idx="1">
                  <c:v>Compact Vented Electric (120V)</c:v>
                </c:pt>
                <c:pt idx="2">
                  <c:v>Compact Vented Electric (240V)</c:v>
                </c:pt>
                <c:pt idx="3">
                  <c:v>Compact Ventless Electric (240V)</c:v>
                </c:pt>
                <c:pt idx="4">
                  <c:v>Vented Gas</c:v>
                </c:pt>
              </c:strCache>
            </c:strRef>
          </c:cat>
          <c:val>
            <c:numRef>
              <c:f>'Intermediate Data'!$C$23:$C$27</c:f>
              <c:numCache>
                <c:formatCode>General</c:formatCode>
                <c:ptCount val="5"/>
                <c:pt idx="0">
                  <c:v>3.73</c:v>
                </c:pt>
                <c:pt idx="1">
                  <c:v>3.61</c:v>
                </c:pt>
                <c:pt idx="2">
                  <c:v>3.27</c:v>
                </c:pt>
                <c:pt idx="3">
                  <c:v>2.5499999999999998</c:v>
                </c:pt>
                <c:pt idx="4" formatCode="0.00">
                  <c:v>3.3</c:v>
                </c:pt>
              </c:numCache>
            </c:numRef>
          </c:val>
        </c:ser>
        <c:ser>
          <c:idx val="3"/>
          <c:order val="2"/>
          <c:tx>
            <c:strRef>
              <c:f>'Intermediate Data'!$D$22</c:f>
              <c:strCache>
                <c:ptCount val="1"/>
                <c:pt idx="0">
                  <c:v>DOE 2015 (Proposed Baseline Based on updated Test Procedure)**</c:v>
                </c:pt>
              </c:strCache>
            </c:strRef>
          </c:tx>
          <c:spPr>
            <a:solidFill>
              <a:schemeClr val="accent4"/>
            </a:solidFill>
            <a:ln>
              <a:noFill/>
            </a:ln>
            <a:effectLst/>
          </c:spPr>
          <c:invertIfNegative val="0"/>
          <c:val>
            <c:numRef>
              <c:f>'Intermediate Data'!$D$23:$D$27</c:f>
              <c:numCache>
                <c:formatCode>General</c:formatCode>
                <c:ptCount val="5"/>
                <c:pt idx="0">
                  <c:v>3.11</c:v>
                </c:pt>
                <c:pt idx="1">
                  <c:v>3.03</c:v>
                </c:pt>
                <c:pt idx="2" formatCode="0.00">
                  <c:v>1.9</c:v>
                </c:pt>
                <c:pt idx="3">
                  <c:v>2.33</c:v>
                </c:pt>
                <c:pt idx="4">
                  <c:v>2.77</c:v>
                </c:pt>
              </c:numCache>
            </c:numRef>
          </c:val>
        </c:ser>
        <c:ser>
          <c:idx val="2"/>
          <c:order val="3"/>
          <c:tx>
            <c:strRef>
              <c:f>'Intermediate Data'!$E$22</c:f>
              <c:strCache>
                <c:ptCount val="1"/>
                <c:pt idx="0">
                  <c:v>ENERGY STAR 2015**</c:v>
                </c:pt>
              </c:strCache>
            </c:strRef>
          </c:tx>
          <c:spPr>
            <a:solidFill>
              <a:srgbClr val="2592FF"/>
            </a:solidFill>
            <a:ln>
              <a:noFill/>
            </a:ln>
            <a:effectLst/>
          </c:spPr>
          <c:invertIfNegative val="0"/>
          <c:cat>
            <c:strRef>
              <c:f>'Intermediate Data'!$A$23:$A$27</c:f>
              <c:strCache>
                <c:ptCount val="5"/>
                <c:pt idx="0">
                  <c:v>Standard Vented Electric</c:v>
                </c:pt>
                <c:pt idx="1">
                  <c:v>Compact Vented Electric (120V)</c:v>
                </c:pt>
                <c:pt idx="2">
                  <c:v>Compact Vented Electric (240V)</c:v>
                </c:pt>
                <c:pt idx="3">
                  <c:v>Compact Ventless Electric (240V)</c:v>
                </c:pt>
                <c:pt idx="4">
                  <c:v>Vented Gas</c:v>
                </c:pt>
              </c:strCache>
            </c:strRef>
          </c:cat>
          <c:val>
            <c:numRef>
              <c:f>'Intermediate Data'!$E$23:$E$27</c:f>
              <c:numCache>
                <c:formatCode>0.00</c:formatCode>
                <c:ptCount val="5"/>
                <c:pt idx="0" formatCode="General">
                  <c:v>3.93</c:v>
                </c:pt>
                <c:pt idx="1">
                  <c:v>3.8</c:v>
                </c:pt>
                <c:pt idx="2" formatCode="General">
                  <c:v>3.45</c:v>
                </c:pt>
                <c:pt idx="3" formatCode="General">
                  <c:v>2.68</c:v>
                </c:pt>
                <c:pt idx="4" formatCode="General">
                  <c:v>3.48</c:v>
                </c:pt>
              </c:numCache>
            </c:numRef>
          </c:val>
        </c:ser>
        <c:dLbls>
          <c:showLegendKey val="0"/>
          <c:showVal val="0"/>
          <c:showCatName val="0"/>
          <c:showSerName val="0"/>
          <c:showPercent val="0"/>
          <c:showBubbleSize val="0"/>
        </c:dLbls>
        <c:gapWidth val="219"/>
        <c:overlap val="-27"/>
        <c:axId val="150084720"/>
        <c:axId val="150085280"/>
      </c:barChart>
      <c:catAx>
        <c:axId val="15008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5280"/>
        <c:crosses val="autoZero"/>
        <c:auto val="1"/>
        <c:lblAlgn val="ctr"/>
        <c:lblOffset val="100"/>
        <c:noMultiLvlLbl val="0"/>
      </c:catAx>
      <c:valAx>
        <c:axId val="150085280"/>
        <c:scaling>
          <c:orientation val="minMax"/>
          <c:max val="4"/>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Combined Energy Factor</a:t>
                </a:r>
              </a:p>
            </c:rich>
          </c:tx>
          <c:layout>
            <c:manualLayout>
              <c:xMode val="edge"/>
              <c:yMode val="edge"/>
              <c:x val="4.0005177129677827E-2"/>
              <c:y val="0.13458622739375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084720"/>
        <c:crosses val="autoZero"/>
        <c:crossBetween val="between"/>
        <c:majorUnit val="2"/>
        <c:minorUnit val="0.5"/>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5" dropStyle="combo" dx="16" fmlaLink="'Intermediate Data'!$V$2" fmlaRange="'Intermediate Data'!$X$2:$X$6" noThreeD="1" sel="5"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152399</xdr:colOff>
      <xdr:row>23</xdr:row>
      <xdr:rowOff>149225</xdr:rowOff>
    </xdr:from>
    <xdr:to>
      <xdr:col>27</xdr:col>
      <xdr:colOff>180975</xdr:colOff>
      <xdr:row>29</xdr:row>
      <xdr:rowOff>409575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47625</xdr:colOff>
          <xdr:row>4</xdr:row>
          <xdr:rowOff>47625</xdr:rowOff>
        </xdr:from>
        <xdr:to>
          <xdr:col>11</xdr:col>
          <xdr:colOff>66675</xdr:colOff>
          <xdr:row>5</xdr:row>
          <xdr:rowOff>76200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91166</xdr:colOff>
      <xdr:row>13</xdr:row>
      <xdr:rowOff>151040</xdr:rowOff>
    </xdr:from>
    <xdr:to>
      <xdr:col>10</xdr:col>
      <xdr:colOff>138791</xdr:colOff>
      <xdr:row>15</xdr:row>
      <xdr:rowOff>8165</xdr:rowOff>
    </xdr:to>
    <xdr:sp macro="" textlink="">
      <xdr:nvSpPr>
        <xdr:cNvPr id="2" name="TextBox 1"/>
        <xdr:cNvSpPr txBox="1"/>
      </xdr:nvSpPr>
      <xdr:spPr>
        <a:xfrm>
          <a:off x="5110841" y="2503715"/>
          <a:ext cx="4286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a:t>
          </a:r>
        </a:p>
      </xdr:txBody>
    </xdr:sp>
    <xdr:clientData/>
  </xdr:twoCellAnchor>
</xdr:wsDr>
</file>

<file path=xl/tables/table1.xml><?xml version="1.0" encoding="utf-8"?>
<table xmlns="http://schemas.openxmlformats.org/spreadsheetml/2006/main" id="1" name="CodesandSpecs" displayName="CodesandSpecs" ref="A2:D6" totalsRowShown="0" headerRowDxfId="12" headerRowCellStyle="Normal 2">
  <autoFilter ref="A2:D6"/>
  <tableColumns count="4">
    <tableColumn id="4" name="Spec" dataDxfId="11" dataCellStyle="Normal 2"/>
    <tableColumn id="5" name="Requirement" dataDxfId="10" dataCellStyle="Normal 2"/>
    <tableColumn id="6" name="Effective Date" dataDxfId="9" dataCellStyle="Normal 2"/>
    <tableColumn id="9" name="Source ID" dataCellStyle="Normal 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homedepot.com/" TargetMode="External"/><Relationship Id="rId13" Type="http://schemas.openxmlformats.org/officeDocument/2006/relationships/hyperlink" Target="http://www.energystar.gov/sites/default/files/asset/document/2014%20Emerging%20Technology%20Award%20_Advanced%20Clothes%20Dryer%20Models%20093014.pdf" TargetMode="External"/><Relationship Id="rId18" Type="http://schemas.openxmlformats.org/officeDocument/2006/relationships/hyperlink" Target="http://www.energystar.gov/sites/default/files/specs/ENERGY%20STAR%20Final%20Version%201%200%20Clothes%20Dryers%20Program%20Requirements.pdf" TargetMode="External"/><Relationship Id="rId26" Type="http://schemas.openxmlformats.org/officeDocument/2006/relationships/printerSettings" Target="../printerSettings/printerSettings5.bin"/><Relationship Id="rId3" Type="http://schemas.openxmlformats.org/officeDocument/2006/relationships/hyperlink" Target="https://www.energystar.gov/index.cfm?c=clothesdry.pr_crit_clothes_dryers" TargetMode="External"/><Relationship Id="rId21" Type="http://schemas.openxmlformats.org/officeDocument/2006/relationships/hyperlink" Target="http://www.clasponline.org/en/Resources/Resources/PublicationLibrary/2013/Clothes-Dryer-Heat-Pump-Technology-Offers-Substantial-Cost-and-Energy-Savings-for-North-America.aspx" TargetMode="External"/><Relationship Id="rId7" Type="http://schemas.openxmlformats.org/officeDocument/2006/relationships/hyperlink" Target="http://www.lowes.com/" TargetMode="External"/><Relationship Id="rId12" Type="http://schemas.openxmlformats.org/officeDocument/2006/relationships/hyperlink" Target="http://www1.eere.energy.gov/buildings/appliance_standards/product.aspx/productid/36" TargetMode="External"/><Relationship Id="rId17" Type="http://schemas.openxmlformats.org/officeDocument/2006/relationships/hyperlink" Target="http://www.energystar.gov/ia/products/downloads/ENERGY_STAR_Scoping_Report_Residential_Clothes_Dryers.pdf" TargetMode="External"/><Relationship Id="rId25" Type="http://schemas.openxmlformats.org/officeDocument/2006/relationships/hyperlink" Target="http://rtf.nwcouncil.org/meetings/2015/04/Residential%20Dryers%20v06.xlsm" TargetMode="External"/><Relationship Id="rId2" Type="http://schemas.openxmlformats.org/officeDocument/2006/relationships/hyperlink" Target="http://neea.org/docs/default-source/reports/emerging-technology-dryer-testing.pdf?sfvrsn=7" TargetMode="External"/><Relationship Id="rId16" Type="http://schemas.openxmlformats.org/officeDocument/2006/relationships/hyperlink" Target="http://www.regulations.gov/" TargetMode="External"/><Relationship Id="rId20" Type="http://schemas.openxmlformats.org/officeDocument/2006/relationships/hyperlink" Target="http://www.energystar.gov/rebate-finder?scrollTo=0&amp;search_text=&amp;sort_by=utility&amp;sort_direction=asc&amp;zip_code_filter=&amp;product_clean_filter=Clothes+Dryers&amp;product_clean_isopen=&amp;page_number=0&amp;lastpage=0" TargetMode="External"/><Relationship Id="rId1" Type="http://schemas.openxmlformats.org/officeDocument/2006/relationships/hyperlink" Target="http://www.aceee.org/files/proceedings/2014/data/index.htm" TargetMode="External"/><Relationship Id="rId6" Type="http://schemas.openxmlformats.org/officeDocument/2006/relationships/hyperlink" Target="http://www.sears.com/" TargetMode="External"/><Relationship Id="rId11" Type="http://schemas.openxmlformats.org/officeDocument/2006/relationships/hyperlink" Target="http://www.energystar.gov/about/awards/energy-star-emerging-technology-award/2014-emerging-technology-award-advanced-clothes-dryers" TargetMode="External"/><Relationship Id="rId24" Type="http://schemas.openxmlformats.org/officeDocument/2006/relationships/hyperlink" Target="https://www.energystar.gov/sites/default/files/specs/ENERGY%20STAR%20Draft%202%20Version%201.0%20Clothes%20Dryers%20Data%20and%20Analysis.xlsx" TargetMode="External"/><Relationship Id="rId5" Type="http://schemas.openxmlformats.org/officeDocument/2006/relationships/hyperlink" Target="http://www.calmac.org/publications/HEER__BCE_083012_FINAL.pdf" TargetMode="External"/><Relationship Id="rId15" Type="http://schemas.openxmlformats.org/officeDocument/2006/relationships/hyperlink" Target="http://www.regulations.gov/" TargetMode="External"/><Relationship Id="rId23" Type="http://schemas.openxmlformats.org/officeDocument/2006/relationships/hyperlink" Target="http://cltc.ucdavis.edu/sites/default/files/files/publication/2011_lbnl_max_tech_beyond.pdf" TargetMode="External"/><Relationship Id="rId10" Type="http://schemas.openxmlformats.org/officeDocument/2006/relationships/hyperlink" Target="https://www.energystar.gov/productfinder/product/certified-clothes-dryers/" TargetMode="External"/><Relationship Id="rId19" Type="http://schemas.openxmlformats.org/officeDocument/2006/relationships/hyperlink" Target="https://websafe.kemainc.com/susc/CPUC_CLASS_2012/SUSc_CPUC_CLASS_2012.aspx" TargetMode="External"/><Relationship Id="rId4" Type="http://schemas.openxmlformats.org/officeDocument/2006/relationships/hyperlink" Target="http://aceee.org/files/proceedings/2010/data/papers/1977.pdf" TargetMode="External"/><Relationship Id="rId9" Type="http://schemas.openxmlformats.org/officeDocument/2006/relationships/hyperlink" Target="http://www1.eere.energy.gov/buildings/appliance_standards/product.aspx/productid/36" TargetMode="External"/><Relationship Id="rId14" Type="http://schemas.openxmlformats.org/officeDocument/2006/relationships/hyperlink" Target="https://www.energystar.gov/productfinder/product/certified-clothes-dryers/details/2216729" TargetMode="External"/><Relationship Id="rId22" Type="http://schemas.openxmlformats.org/officeDocument/2006/relationships/hyperlink" Target="http://energy.gov/sites/prod/files/2015/03/f20/Clothes%20Dryer%20Standards_RFI.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homedepot.com/b/Appliances-Washers-Dryers-Dryers-Electric-Dryers/Whirlpool/N-5yc1vZc3q1Z4l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Y51"/>
  <sheetViews>
    <sheetView showGridLines="0" tabSelected="1" zoomScaleNormal="100" workbookViewId="0">
      <pane ySplit="1" topLeftCell="A2" activePane="bottomLeft" state="frozen"/>
      <selection pane="bottomLeft" activeCell="AI6" sqref="AI6:AK8"/>
    </sheetView>
  </sheetViews>
  <sheetFormatPr defaultRowHeight="12.75" x14ac:dyDescent="0.2"/>
  <cols>
    <col min="1" max="1" width="4.28515625" style="9" customWidth="1"/>
    <col min="2" max="2" width="14.7109375" customWidth="1"/>
    <col min="3" max="3" width="11" customWidth="1"/>
    <col min="4" max="5" width="6.7109375" customWidth="1"/>
    <col min="6" max="6" width="5.7109375" style="9" customWidth="1"/>
    <col min="7" max="7" width="10.85546875" style="9" customWidth="1"/>
    <col min="8" max="8" width="5.7109375" style="9" customWidth="1"/>
    <col min="9" max="9" width="9.5703125" style="9" customWidth="1"/>
    <col min="10" max="10" width="5.7109375" style="9" customWidth="1"/>
    <col min="11" max="11" width="6.140625" style="9" customWidth="1"/>
    <col min="12" max="12" width="5.7109375" customWidth="1"/>
    <col min="13" max="13" width="5.85546875" customWidth="1"/>
    <col min="14" max="14" width="6.28515625" customWidth="1"/>
    <col min="15" max="34" width="5.7109375" customWidth="1"/>
    <col min="35" max="35" width="7.5703125" customWidth="1"/>
    <col min="36" max="36" width="12.42578125" customWidth="1"/>
    <col min="37" max="37" width="13.28515625" customWidth="1"/>
    <col min="38" max="38" width="10.28515625" bestFit="1" customWidth="1"/>
    <col min="39" max="39" width="11.28515625" bestFit="1" customWidth="1"/>
  </cols>
  <sheetData>
    <row r="1" spans="1:40" ht="27" thickBot="1" x14ac:dyDescent="0.45">
      <c r="A1" s="102" t="s">
        <v>736</v>
      </c>
      <c r="B1" s="102"/>
      <c r="C1" s="102"/>
      <c r="D1" s="102"/>
      <c r="E1" s="102"/>
      <c r="F1" s="102"/>
      <c r="G1" s="102"/>
      <c r="H1" s="102"/>
      <c r="I1" s="102"/>
      <c r="J1" s="102"/>
      <c r="K1" s="102"/>
      <c r="L1" s="102"/>
      <c r="M1" s="103" t="s">
        <v>806</v>
      </c>
      <c r="N1" s="104"/>
      <c r="O1" s="102"/>
      <c r="P1" s="102"/>
      <c r="Q1" s="102"/>
      <c r="R1" s="102"/>
      <c r="S1" s="102"/>
      <c r="T1" s="105" t="s">
        <v>672</v>
      </c>
      <c r="U1" s="106"/>
      <c r="V1" s="107" t="s">
        <v>673</v>
      </c>
      <c r="W1" s="108" t="s">
        <v>674</v>
      </c>
      <c r="X1" s="7"/>
      <c r="Y1" s="7"/>
      <c r="Z1" s="7"/>
      <c r="AA1" s="108"/>
      <c r="AB1" s="7"/>
      <c r="AC1" s="7"/>
      <c r="AD1" s="7"/>
      <c r="AE1" s="7"/>
      <c r="AF1" s="7"/>
      <c r="AG1" s="7"/>
      <c r="AH1" s="7"/>
      <c r="AI1" s="7"/>
      <c r="AJ1" s="7"/>
      <c r="AK1" s="7"/>
      <c r="AL1" s="6"/>
      <c r="AM1" s="9"/>
      <c r="AN1" s="9"/>
    </row>
    <row r="2" spans="1:40" s="9" customFormat="1" ht="13.5" thickBot="1"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232" t="s">
        <v>714</v>
      </c>
    </row>
    <row r="3" spans="1:40" s="9" customFormat="1" ht="23.25" x14ac:dyDescent="0.35">
      <c r="A3" s="99"/>
      <c r="B3" s="97" t="s">
        <v>665</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F3"/>
      <c r="AG3"/>
      <c r="AI3" s="3"/>
      <c r="AJ3" s="3"/>
      <c r="AK3" s="3"/>
      <c r="AL3" s="2"/>
      <c r="AM3" s="2"/>
      <c r="AN3" s="2"/>
    </row>
    <row r="4" spans="1:40" s="9" customFormat="1" ht="12.75" customHeight="1" x14ac:dyDescent="0.2">
      <c r="A4" s="99"/>
      <c r="B4" s="252" t="s">
        <v>671</v>
      </c>
      <c r="C4" s="252"/>
      <c r="D4" s="252"/>
      <c r="E4" s="252"/>
      <c r="F4" s="252"/>
      <c r="G4" s="252"/>
      <c r="H4" s="252"/>
      <c r="I4" s="252"/>
      <c r="J4" s="260">
        <f ca="1">'Intermediate Data'!D4</f>
        <v>2012</v>
      </c>
      <c r="K4" s="261"/>
      <c r="L4" s="261"/>
      <c r="M4" s="260">
        <f ca="1">'Intermediate Data'!J4</f>
        <v>2014</v>
      </c>
      <c r="N4" s="261"/>
      <c r="O4" s="261"/>
      <c r="P4" s="260">
        <f ca="1">'Intermediate Data'!K4</f>
        <v>2014</v>
      </c>
      <c r="Q4" s="261"/>
      <c r="R4" s="261"/>
      <c r="S4" s="260">
        <f ca="1">'Intermediate Data'!M4</f>
        <v>2015</v>
      </c>
      <c r="T4" s="261"/>
      <c r="U4" s="261"/>
      <c r="V4" s="260">
        <f ca="1">'Intermediate Data'!R4</f>
        <v>2015</v>
      </c>
      <c r="W4" s="261"/>
      <c r="X4" s="261"/>
      <c r="Y4" s="260">
        <f ca="1">'Intermediate Data'!P4</f>
        <v>2015</v>
      </c>
      <c r="Z4" s="261"/>
      <c r="AA4" s="261"/>
      <c r="AB4" s="260">
        <f ca="1">'Intermediate Data'!T4</f>
        <v>2015</v>
      </c>
      <c r="AC4" s="261"/>
      <c r="AD4" s="261"/>
      <c r="AE4" s="378">
        <f ca="1">'Intermediate Data'!T4</f>
        <v>2015</v>
      </c>
      <c r="AF4" s="379"/>
      <c r="AG4" s="379"/>
      <c r="AH4"/>
      <c r="AI4" s="378">
        <v>2009</v>
      </c>
      <c r="AJ4" s="379"/>
      <c r="AK4" s="379"/>
    </row>
    <row r="5" spans="1:40" s="9" customFormat="1" ht="12.75" customHeight="1" x14ac:dyDescent="0.2">
      <c r="A5" s="99"/>
      <c r="B5" s="244"/>
      <c r="C5" s="244"/>
      <c r="D5" s="244"/>
      <c r="E5" s="244"/>
      <c r="F5" s="244"/>
      <c r="G5" s="244"/>
      <c r="H5" s="244"/>
      <c r="I5" s="244"/>
      <c r="J5" s="262" t="s">
        <v>711</v>
      </c>
      <c r="K5" s="263"/>
      <c r="L5" s="264"/>
      <c r="M5" s="260" t="str">
        <f ca="1">'Intermediate Data'!J5</f>
        <v>National</v>
      </c>
      <c r="N5" s="261"/>
      <c r="O5" s="261"/>
      <c r="P5" s="260" t="str">
        <f ca="1">'Intermediate Data'!K5</f>
        <v>National</v>
      </c>
      <c r="Q5" s="261"/>
      <c r="R5" s="261"/>
      <c r="S5" s="260" t="str">
        <f ca="1">'Intermediate Data'!M5</f>
        <v>National</v>
      </c>
      <c r="T5" s="261"/>
      <c r="U5" s="261"/>
      <c r="V5" s="260" t="str">
        <f ca="1">'Intermediate Data'!R5</f>
        <v>National</v>
      </c>
      <c r="W5" s="261"/>
      <c r="X5" s="261"/>
      <c r="Y5" s="260" t="str">
        <f ca="1">'Intermediate Data'!P5</f>
        <v>National</v>
      </c>
      <c r="Z5" s="261"/>
      <c r="AA5" s="261"/>
      <c r="AB5" s="260" t="str">
        <f>'Intermediate Data'!T5</f>
        <v>National</v>
      </c>
      <c r="AC5" s="261"/>
      <c r="AD5" s="261"/>
      <c r="AE5" s="260" t="str">
        <f>'Intermediate Data'!T5</f>
        <v>National</v>
      </c>
      <c r="AF5" s="261"/>
      <c r="AG5" s="261"/>
      <c r="AH5"/>
      <c r="AI5" s="260" t="s">
        <v>660</v>
      </c>
      <c r="AJ5" s="261"/>
      <c r="AK5" s="261"/>
    </row>
    <row r="6" spans="1:40" s="9" customFormat="1" ht="12.75" customHeight="1" x14ac:dyDescent="0.2">
      <c r="A6" s="99"/>
      <c r="B6" s="244"/>
      <c r="C6" s="244"/>
      <c r="D6" s="244"/>
      <c r="E6" s="244"/>
      <c r="F6" s="244"/>
      <c r="G6" s="244"/>
      <c r="H6" s="244"/>
      <c r="I6" s="244"/>
      <c r="J6" s="262"/>
      <c r="K6" s="263"/>
      <c r="L6" s="264"/>
      <c r="M6" s="243" t="str">
        <f>'Intermediate Data'!J3</f>
        <v>Number of Models Available</v>
      </c>
      <c r="N6" s="244"/>
      <c r="O6" s="244"/>
      <c r="P6" s="243" t="str">
        <f>'Intermediate Data'!K3</f>
        <v>Cost</v>
      </c>
      <c r="Q6" s="244"/>
      <c r="R6" s="244"/>
      <c r="S6" s="243" t="s">
        <v>874</v>
      </c>
      <c r="T6" s="244"/>
      <c r="U6" s="244"/>
      <c r="V6" s="244"/>
      <c r="W6" s="244"/>
      <c r="X6" s="245"/>
      <c r="Y6" s="243" t="s">
        <v>875</v>
      </c>
      <c r="Z6" s="244"/>
      <c r="AA6" s="244"/>
      <c r="AB6" s="244"/>
      <c r="AC6" s="244"/>
      <c r="AD6" s="245"/>
      <c r="AE6" s="243" t="str">
        <f>'Intermediate Data'!T3</f>
        <v>Programs Incenting Measure</v>
      </c>
      <c r="AF6" s="244"/>
      <c r="AG6" s="244"/>
      <c r="AH6"/>
      <c r="AI6" s="243" t="s">
        <v>841</v>
      </c>
      <c r="AJ6" s="244"/>
      <c r="AK6" s="244"/>
    </row>
    <row r="7" spans="1:40" s="9" customFormat="1" ht="18" customHeight="1" x14ac:dyDescent="0.2">
      <c r="A7" s="99"/>
      <c r="B7" s="244"/>
      <c r="C7" s="244"/>
      <c r="D7" s="244"/>
      <c r="E7" s="244"/>
      <c r="F7" s="244"/>
      <c r="G7" s="244"/>
      <c r="H7" s="244"/>
      <c r="I7" s="244"/>
      <c r="J7" s="243" t="str">
        <f>'Intermediate Data'!D3</f>
        <v>Market Penetration</v>
      </c>
      <c r="K7" s="244"/>
      <c r="L7" s="245"/>
      <c r="M7" s="243"/>
      <c r="N7" s="244"/>
      <c r="O7" s="244"/>
      <c r="P7" s="243"/>
      <c r="Q7" s="244"/>
      <c r="R7" s="244"/>
      <c r="S7" s="243"/>
      <c r="T7" s="244"/>
      <c r="U7" s="244"/>
      <c r="V7" s="244"/>
      <c r="W7" s="244"/>
      <c r="X7" s="245"/>
      <c r="Y7" s="243"/>
      <c r="Z7" s="244"/>
      <c r="AA7" s="244"/>
      <c r="AB7" s="244"/>
      <c r="AC7" s="244"/>
      <c r="AD7" s="245"/>
      <c r="AE7" s="243"/>
      <c r="AF7" s="244"/>
      <c r="AG7" s="244"/>
      <c r="AH7"/>
      <c r="AI7" s="243"/>
      <c r="AJ7" s="244"/>
      <c r="AK7" s="244"/>
    </row>
    <row r="8" spans="1:40" ht="12.75" customHeight="1" x14ac:dyDescent="0.2">
      <c r="A8" s="99"/>
      <c r="B8" s="241"/>
      <c r="C8" s="241"/>
      <c r="D8" s="241"/>
      <c r="E8" s="241"/>
      <c r="F8" s="241"/>
      <c r="G8" s="241"/>
      <c r="H8" s="241"/>
      <c r="I8" s="241"/>
      <c r="J8" s="240"/>
      <c r="K8" s="241"/>
      <c r="L8" s="242"/>
      <c r="M8" s="243"/>
      <c r="N8" s="244"/>
      <c r="O8" s="244"/>
      <c r="P8" s="243"/>
      <c r="Q8" s="244"/>
      <c r="R8" s="244"/>
      <c r="S8" s="240" t="s">
        <v>871</v>
      </c>
      <c r="T8" s="241"/>
      <c r="U8" s="242"/>
      <c r="V8" s="240" t="s">
        <v>873</v>
      </c>
      <c r="W8" s="241"/>
      <c r="X8" s="242"/>
      <c r="Y8" s="240" t="s">
        <v>871</v>
      </c>
      <c r="Z8" s="241"/>
      <c r="AA8" s="242"/>
      <c r="AB8" s="240" t="s">
        <v>872</v>
      </c>
      <c r="AC8" s="241"/>
      <c r="AD8" s="242"/>
      <c r="AE8" s="243"/>
      <c r="AF8" s="244"/>
      <c r="AG8" s="244"/>
      <c r="AI8" s="243"/>
      <c r="AJ8" s="244"/>
      <c r="AK8" s="244"/>
    </row>
    <row r="9" spans="1:40" ht="12.75" customHeight="1" x14ac:dyDescent="0.25">
      <c r="A9" s="99"/>
      <c r="B9" s="191" t="s">
        <v>752</v>
      </c>
      <c r="C9" s="253" t="str">
        <f>HYPERLINK("#"&amp;ADDRESS(10,3,1,1,"Measure Qualitative Data"),'Intermediate Data'!A30)</f>
        <v>Standard  Electric</v>
      </c>
      <c r="D9" s="253"/>
      <c r="E9" s="253"/>
      <c r="F9" s="253"/>
      <c r="G9" s="253"/>
      <c r="H9" s="253"/>
      <c r="I9" s="253"/>
      <c r="J9" s="343">
        <f ca="1">HLOOKUP(VLOOKUP('Intermediate Data'!V2,'Intermediate Data'!$W$2:$X$6,2,FALSE),'Intermediate Data'!$D$5:$I$19,4,FALSE)</f>
        <v>0.27</v>
      </c>
      <c r="K9" s="343"/>
      <c r="L9" s="344"/>
      <c r="M9" s="249">
        <f ca="1">'Intermediate Data'!J8</f>
        <v>151</v>
      </c>
      <c r="N9" s="249"/>
      <c r="O9" s="249"/>
      <c r="P9" s="334">
        <f ca="1">IF('Intermediate Data'!K8=0,$AB$2,'Intermediate Data'!K8)</f>
        <v>912.91959064327455</v>
      </c>
      <c r="Q9" s="334"/>
      <c r="R9" s="334"/>
      <c r="S9" s="249">
        <f ca="1">IF('Intermediate Data'!M8=0,$AB$2,'Intermediate Data'!M8)</f>
        <v>760</v>
      </c>
      <c r="T9" s="249"/>
      <c r="U9" s="249"/>
      <c r="V9" s="249">
        <f ca="1">IF('Intermediate Data'!N8=0,$AB$2,'Intermediate Data'!N8)</f>
        <v>1.0000000000000001E-5</v>
      </c>
      <c r="W9" s="249"/>
      <c r="X9" s="249"/>
      <c r="Y9" s="249">
        <f ca="1">'Intermediate Data'!P8</f>
        <v>1E-4</v>
      </c>
      <c r="Z9" s="249"/>
      <c r="AA9" s="249"/>
      <c r="AB9" s="249">
        <f ca="1">IF('Intermediate Data'!Q8=0,$AB$2,'Intermediate Data'!Q8)</f>
        <v>1.0000000000000001E-5</v>
      </c>
      <c r="AC9" s="249"/>
      <c r="AD9" s="249"/>
      <c r="AE9" s="331"/>
      <c r="AF9" s="332"/>
      <c r="AG9" s="333"/>
      <c r="AI9" s="216"/>
      <c r="AJ9" s="224" t="s">
        <v>842</v>
      </c>
      <c r="AK9" s="225" t="s">
        <v>845</v>
      </c>
    </row>
    <row r="10" spans="1:40" ht="13.5" customHeight="1" x14ac:dyDescent="0.25">
      <c r="A10" s="99"/>
      <c r="B10" s="192"/>
      <c r="C10" s="254" t="str">
        <f>HYPERLINK("#"&amp;ADDRESS(11,3,1,1,"Measure Qualitative Data"),'Intermediate Data'!A31)</f>
        <v>Energy Star - Standard  Electric</v>
      </c>
      <c r="D10" s="254"/>
      <c r="E10" s="254"/>
      <c r="F10" s="254"/>
      <c r="G10" s="254"/>
      <c r="H10" s="254"/>
      <c r="I10" s="254"/>
      <c r="J10" s="270"/>
      <c r="K10" s="270"/>
      <c r="L10" s="345"/>
      <c r="M10" s="248">
        <f ca="1">'Intermediate Data'!J9</f>
        <v>24</v>
      </c>
      <c r="N10" s="248"/>
      <c r="O10" s="248"/>
      <c r="P10" s="271">
        <f ca="1">IF('Intermediate Data'!K9=0,$AB$2,'Intermediate Data'!K9)</f>
        <v>1010.1609374999999</v>
      </c>
      <c r="Q10" s="271"/>
      <c r="R10" s="271"/>
      <c r="S10" s="248">
        <f ca="1">IF('Intermediate Data'!M9=0,$AB$2,'Intermediate Data'!M9)</f>
        <v>608</v>
      </c>
      <c r="T10" s="248"/>
      <c r="U10" s="248"/>
      <c r="V10" s="248">
        <f ca="1">IF('Intermediate Data'!N9=0,$AB$2,'Intermediate Data'!N9)</f>
        <v>1.0000000000000001E-5</v>
      </c>
      <c r="W10" s="248"/>
      <c r="X10" s="248"/>
      <c r="Y10" s="248">
        <f ca="1">'Intermediate Data'!P9</f>
        <v>160</v>
      </c>
      <c r="Z10" s="248"/>
      <c r="AA10" s="248"/>
      <c r="AB10" s="248">
        <f ca="1">IF('Intermediate Data'!Q9=0,$AB$2,'Intermediate Data'!Q9)</f>
        <v>1.0000000000000001E-5</v>
      </c>
      <c r="AC10" s="248"/>
      <c r="AD10" s="248"/>
      <c r="AE10" s="336">
        <f>'Intermediate Data'!T9</f>
        <v>1</v>
      </c>
      <c r="AF10" s="337"/>
      <c r="AG10" s="338"/>
      <c r="AI10" s="226" t="s">
        <v>702</v>
      </c>
      <c r="AJ10" s="220" t="s">
        <v>846</v>
      </c>
      <c r="AK10" s="220" t="s">
        <v>848</v>
      </c>
    </row>
    <row r="11" spans="1:40" s="99" customFormat="1" ht="13.5" customHeight="1" thickBot="1" x14ac:dyDescent="0.3">
      <c r="B11" s="193"/>
      <c r="C11" s="256" t="str">
        <f>HYPERLINK("#"&amp;ADDRESS(13,3,1,1,"Measure Qualitative Data"),'Intermediate Data'!A32)</f>
        <v>ENERGY STAR 2014 ET Heat Pump Hybrid</v>
      </c>
      <c r="D11" s="256"/>
      <c r="E11" s="256"/>
      <c r="F11" s="256"/>
      <c r="G11" s="256"/>
      <c r="H11" s="256"/>
      <c r="I11" s="256"/>
      <c r="J11" s="268" t="str">
        <f ca="1">IF(HLOOKUP(VLOOKUP('Intermediate Data'!V2,'Intermediate Data'!$W$2:$X$6,2,FALSE),'Intermediate Data'!$D$5:$I$19,6,FALSE)=0,$AB$2,HLOOKUP(VLOOKUP('Intermediate Data'!V2,'Intermediate Data'!$W$2:$X$6,2,FALSE),'Intermediate Data'!$D$5:$I$19,6,FALSE))</f>
        <v xml:space="preserve"> </v>
      </c>
      <c r="K11" s="268"/>
      <c r="L11" s="269"/>
      <c r="M11" s="246">
        <f ca="1">'Intermediate Data'!J10</f>
        <v>2</v>
      </c>
      <c r="N11" s="246"/>
      <c r="O11" s="246"/>
      <c r="P11" s="257">
        <f ca="1">IF('Intermediate Data'!K10=0,$AB$2,'Intermediate Data'!K10)</f>
        <v>1649</v>
      </c>
      <c r="Q11" s="257"/>
      <c r="R11" s="257"/>
      <c r="S11" s="246">
        <f ca="1">IF('Intermediate Data'!M10=0,$AB$2,'Intermediate Data'!M10)</f>
        <v>543.5</v>
      </c>
      <c r="T11" s="246"/>
      <c r="U11" s="246"/>
      <c r="V11" s="246">
        <f ca="1">IF('Intermediate Data'!N10=0,$AB$2,'Intermediate Data'!N10)</f>
        <v>1.0000000000000001E-5</v>
      </c>
      <c r="W11" s="246"/>
      <c r="X11" s="246"/>
      <c r="Y11" s="246">
        <f ca="1">'Intermediate Data'!P10</f>
        <v>216.5</v>
      </c>
      <c r="Z11" s="246"/>
      <c r="AA11" s="246"/>
      <c r="AB11" s="246">
        <f ca="1">IF('Intermediate Data'!Q10=0,$AB$2,'Intermediate Data'!Q10)</f>
        <v>9.9999999999999995E-7</v>
      </c>
      <c r="AC11" s="246"/>
      <c r="AD11" s="246"/>
      <c r="AE11" s="293">
        <f>'Intermediate Data'!T11</f>
        <v>1</v>
      </c>
      <c r="AF11" s="294"/>
      <c r="AG11" s="295"/>
      <c r="AI11" s="226" t="s">
        <v>704</v>
      </c>
      <c r="AJ11" s="220" t="s">
        <v>847</v>
      </c>
      <c r="AK11" s="220" t="s">
        <v>849</v>
      </c>
    </row>
    <row r="12" spans="1:40" ht="12.75" customHeight="1" thickBot="1" x14ac:dyDescent="0.3">
      <c r="A12" s="99"/>
      <c r="B12" s="209" t="s">
        <v>786</v>
      </c>
      <c r="C12" s="255" t="str">
        <f>HYPERLINK("#"&amp;ADDRESS(12,3,1,1,"Measure Qualitative Data"),'Intermediate Data'!A33)</f>
        <v>Heat Pump (International)</v>
      </c>
      <c r="D12" s="255"/>
      <c r="E12" s="255"/>
      <c r="F12" s="255"/>
      <c r="G12" s="255"/>
      <c r="H12" s="255"/>
      <c r="I12" s="255"/>
      <c r="J12" s="266" t="str">
        <f ca="1">IF(HLOOKUP(VLOOKUP('Intermediate Data'!V2,'Intermediate Data'!$W$2:$X$6,2,FALSE),'Intermediate Data'!$D$5:$I$19,7,FALSE)=0,AB2,HLOOKUP(VLOOKUP('Intermediate Data'!V2,'Intermediate Data'!$W$2:$X$6,2,FALSE),'Intermediate Data'!$D$5:$I$19,7,FALSE))</f>
        <v xml:space="preserve"> </v>
      </c>
      <c r="K12" s="266"/>
      <c r="L12" s="267"/>
      <c r="M12" s="250">
        <f ca="1">'Intermediate Data'!J11</f>
        <v>0</v>
      </c>
      <c r="N12" s="250"/>
      <c r="O12" s="250"/>
      <c r="P12" s="265">
        <f ca="1">IF('Intermediate Data'!K11=0,AB2,'Intermediate Data'!K11)</f>
        <v>983</v>
      </c>
      <c r="Q12" s="265"/>
      <c r="R12" s="265"/>
      <c r="S12" s="250" t="str">
        <f ca="1">IF('Intermediate Data'!M11=0,$AB$2,'Intermediate Data'!M11)</f>
        <v xml:space="preserve"> </v>
      </c>
      <c r="T12" s="250"/>
      <c r="U12" s="250"/>
      <c r="V12" s="250" t="str">
        <f ca="1">IF('Intermediate Data'!N11=0,$AB$2,'Intermediate Data'!N11)</f>
        <v xml:space="preserve"> </v>
      </c>
      <c r="W12" s="250"/>
      <c r="X12" s="250"/>
      <c r="Y12" s="250" t="str">
        <f ca="1">IF('Intermediate Data'!P11=0,$AB$2,'Intermediate Data'!P11)</f>
        <v xml:space="preserve"> </v>
      </c>
      <c r="Z12" s="250"/>
      <c r="AA12" s="250"/>
      <c r="AB12" s="377" t="str">
        <f ca="1">IF('Intermediate Data'!Q11=0,$AB$2,'Intermediate Data'!Q11)</f>
        <v xml:space="preserve"> </v>
      </c>
      <c r="AC12" s="377"/>
      <c r="AD12" s="377"/>
      <c r="AE12" s="340"/>
      <c r="AF12" s="341"/>
      <c r="AG12" s="342"/>
      <c r="AI12" s="226" t="s">
        <v>738</v>
      </c>
      <c r="AJ12" s="220">
        <v>1</v>
      </c>
      <c r="AK12" s="220" t="s">
        <v>8</v>
      </c>
    </row>
    <row r="13" spans="1:40" ht="12.75" customHeight="1" x14ac:dyDescent="0.25">
      <c r="A13" s="99"/>
      <c r="B13" s="192" t="s">
        <v>682</v>
      </c>
      <c r="C13" s="254" t="str">
        <f>HYPERLINK("#"&amp;ADDRESS(14,3,1,1,"Measure Qualitative Data"),'Intermediate Data'!A34)</f>
        <v>Compact Electric (120V)</v>
      </c>
      <c r="D13" s="254"/>
      <c r="E13" s="254"/>
      <c r="F13" s="254"/>
      <c r="G13" s="254"/>
      <c r="H13" s="254"/>
      <c r="I13" s="254"/>
      <c r="J13" s="270">
        <v>0.01</v>
      </c>
      <c r="K13" s="270"/>
      <c r="L13" s="270"/>
      <c r="M13" s="248">
        <f ca="1">'Intermediate Data'!J12</f>
        <v>4</v>
      </c>
      <c r="N13" s="248"/>
      <c r="O13" s="248"/>
      <c r="P13" s="271">
        <f ca="1">IF('Intermediate Data'!K12=0,$AB$2,'Intermediate Data'!K12)</f>
        <v>611.11958333333325</v>
      </c>
      <c r="Q13" s="271"/>
      <c r="R13" s="271"/>
      <c r="S13" s="248" t="str">
        <f ca="1">IF('Intermediate Data'!M12=0,$AB$2,'Intermediate Data'!M12)</f>
        <v xml:space="preserve"> </v>
      </c>
      <c r="T13" s="248"/>
      <c r="U13" s="248"/>
      <c r="V13" s="248" t="str">
        <f ca="1">IF('Intermediate Data'!N12=0,$AB$2,'Intermediate Data'!N12)</f>
        <v xml:space="preserve"> </v>
      </c>
      <c r="W13" s="248"/>
      <c r="X13" s="248"/>
      <c r="Y13" s="248">
        <f ca="1">'Intermediate Data'!P12</f>
        <v>1E-4</v>
      </c>
      <c r="Z13" s="248"/>
      <c r="AA13" s="248"/>
      <c r="AB13" s="248">
        <f ca="1">IF('Intermediate Data'!Q12=0,$AB$2,'Intermediate Data'!Q12)</f>
        <v>1E-4</v>
      </c>
      <c r="AC13" s="248"/>
      <c r="AD13" s="248"/>
      <c r="AE13" s="335"/>
      <c r="AF13" s="335"/>
      <c r="AG13" s="335"/>
      <c r="AI13" s="226" t="s">
        <v>703</v>
      </c>
      <c r="AJ13" s="220" t="s">
        <v>843</v>
      </c>
      <c r="AK13" s="220" t="s">
        <v>844</v>
      </c>
    </row>
    <row r="14" spans="1:40" ht="12.75" customHeight="1" x14ac:dyDescent="0.25">
      <c r="A14" s="99"/>
      <c r="B14" s="192"/>
      <c r="C14" s="259" t="str">
        <f>HYPERLINK("#"&amp;ADDRESS(15,3,1,1,"Measure Qualitative Data"),'Intermediate Data'!A35)</f>
        <v>Compact Electric (240V)</v>
      </c>
      <c r="D14" s="259"/>
      <c r="E14" s="259"/>
      <c r="F14" s="259"/>
      <c r="G14" s="259"/>
      <c r="H14" s="259"/>
      <c r="I14" s="259"/>
      <c r="J14" s="270"/>
      <c r="K14" s="270"/>
      <c r="L14" s="270"/>
      <c r="M14" s="251">
        <f ca="1">'Intermediate Data'!J13</f>
        <v>3</v>
      </c>
      <c r="N14" s="251"/>
      <c r="O14" s="251"/>
      <c r="P14" s="258">
        <f ca="1">IF('Intermediate Data'!K13=0,$AB$2,'Intermediate Data'!K13)</f>
        <v>658.10777777777776</v>
      </c>
      <c r="Q14" s="258"/>
      <c r="R14" s="258"/>
      <c r="S14" s="251" t="str">
        <f ca="1">IF('Intermediate Data'!M13=0,AB2,'Intermediate Data'!M13)</f>
        <v xml:space="preserve"> </v>
      </c>
      <c r="T14" s="251"/>
      <c r="U14" s="251"/>
      <c r="V14" s="251" t="str">
        <f ca="1">IF('Intermediate Data'!N13=0,$AB$2,'Intermediate Data'!N13)</f>
        <v xml:space="preserve"> </v>
      </c>
      <c r="W14" s="251"/>
      <c r="X14" s="251"/>
      <c r="Y14" s="251">
        <f ca="1">'Intermediate Data'!P13</f>
        <v>1E-4</v>
      </c>
      <c r="Z14" s="251"/>
      <c r="AA14" s="251"/>
      <c r="AB14" s="251">
        <f ca="1">IF('Intermediate Data'!Q13=0,$AB$2,'Intermediate Data'!Q13)</f>
        <v>1E-4</v>
      </c>
      <c r="AC14" s="251"/>
      <c r="AD14" s="251"/>
      <c r="AE14" s="292"/>
      <c r="AF14" s="292"/>
      <c r="AG14" s="292"/>
      <c r="AI14" s="380" t="s">
        <v>863</v>
      </c>
      <c r="AJ14" s="380"/>
      <c r="AK14" s="380"/>
      <c r="AL14" s="150"/>
      <c r="AM14" s="150"/>
    </row>
    <row r="15" spans="1:40" ht="12.75" customHeight="1" x14ac:dyDescent="0.25">
      <c r="A15" s="99"/>
      <c r="B15" s="192"/>
      <c r="C15" s="254" t="str">
        <f>HYPERLINK("#"&amp;ADDRESS(16,3,1,1,"Measure Qualitative Data"),'Intermediate Data'!A36)</f>
        <v>Ventless Compact Electric (240V)</v>
      </c>
      <c r="D15" s="254"/>
      <c r="E15" s="254"/>
      <c r="F15" s="254"/>
      <c r="G15" s="254"/>
      <c r="H15" s="254"/>
      <c r="I15" s="254"/>
      <c r="J15" s="270"/>
      <c r="K15" s="270"/>
      <c r="L15" s="270"/>
      <c r="M15" s="248">
        <f ca="1">'Intermediate Data'!J14</f>
        <v>3</v>
      </c>
      <c r="N15" s="248"/>
      <c r="O15" s="248"/>
      <c r="P15" s="271">
        <f ca="1">IF('Intermediate Data'!K14=0,$AB$2,'Intermediate Data'!K14)</f>
        <v>1032.9933333333333</v>
      </c>
      <c r="Q15" s="271"/>
      <c r="R15" s="271"/>
      <c r="S15" s="248" t="str">
        <f ca="1">IF('Intermediate Data'!M14=0,AB2,'Intermediate Data'!M14)</f>
        <v xml:space="preserve"> </v>
      </c>
      <c r="T15" s="248"/>
      <c r="U15" s="248"/>
      <c r="V15" s="248" t="str">
        <f ca="1">IF('Intermediate Data'!N14=0,$AB$2,'Intermediate Data'!N14)</f>
        <v xml:space="preserve"> </v>
      </c>
      <c r="W15" s="248"/>
      <c r="X15" s="248"/>
      <c r="Y15" s="248">
        <f ca="1">'Intermediate Data'!P14</f>
        <v>1E-4</v>
      </c>
      <c r="Z15" s="248"/>
      <c r="AA15" s="248"/>
      <c r="AB15" s="248">
        <f ca="1">IF('Intermediate Data'!Q14=0,$AB$2,'Intermediate Data'!Q14)</f>
        <v>1E-4</v>
      </c>
      <c r="AC15" s="248"/>
      <c r="AD15" s="248"/>
      <c r="AE15" s="299"/>
      <c r="AF15" s="299"/>
      <c r="AG15" s="299"/>
      <c r="AI15" s="380"/>
      <c r="AJ15" s="380"/>
      <c r="AK15" s="380"/>
      <c r="AL15" s="150"/>
      <c r="AM15" s="150"/>
    </row>
    <row r="16" spans="1:40" ht="12.75" customHeight="1" x14ac:dyDescent="0.25">
      <c r="A16" s="99"/>
      <c r="B16" s="192"/>
      <c r="C16" s="259" t="str">
        <f>HYPERLINK("#"&amp;ADDRESS(17,3,1,1,"Measure Qualitative Data"),'Intermediate Data'!A37)</f>
        <v>Energy Star - Compact Electric  (120V)</v>
      </c>
      <c r="D16" s="259"/>
      <c r="E16" s="259"/>
      <c r="F16" s="259"/>
      <c r="G16" s="259"/>
      <c r="H16" s="259"/>
      <c r="I16" s="259"/>
      <c r="J16" s="270"/>
      <c r="K16" s="270"/>
      <c r="L16" s="270"/>
      <c r="M16" s="251">
        <f ca="1">'Intermediate Data'!J15</f>
        <v>0</v>
      </c>
      <c r="N16" s="251"/>
      <c r="O16" s="251"/>
      <c r="P16" s="258" t="str">
        <f ca="1">IF('Intermediate Data'!K15=0,$AB$2,'Intermediate Data'!K15)</f>
        <v xml:space="preserve"> </v>
      </c>
      <c r="Q16" s="258"/>
      <c r="R16" s="258"/>
      <c r="S16" s="251" t="str">
        <f ca="1">IF('Intermediate Data'!M15=0,AB2,'Intermediate Data'!M15)</f>
        <v xml:space="preserve"> </v>
      </c>
      <c r="T16" s="251"/>
      <c r="U16" s="251"/>
      <c r="V16" s="251" t="str">
        <f ca="1">IF('Intermediate Data'!N15=0,$AB$2,'Intermediate Data'!N15)</f>
        <v xml:space="preserve"> </v>
      </c>
      <c r="W16" s="251"/>
      <c r="X16" s="251"/>
      <c r="Y16" s="251">
        <f ca="1">IF('Intermediate Data'!P15=0,$AB$2,'Intermediate Data'!P15)</f>
        <v>59</v>
      </c>
      <c r="Z16" s="251"/>
      <c r="AA16" s="251"/>
      <c r="AB16" s="251">
        <f ca="1">IF('Intermediate Data'!Q15=0,$AB$2,'Intermediate Data'!Q15)</f>
        <v>1E-4</v>
      </c>
      <c r="AC16" s="251"/>
      <c r="AD16" s="251"/>
      <c r="AE16" s="292"/>
      <c r="AF16" s="292"/>
      <c r="AG16" s="292"/>
      <c r="AI16" s="380"/>
      <c r="AJ16" s="380"/>
      <c r="AK16" s="380"/>
      <c r="AL16" s="150"/>
      <c r="AM16" s="150"/>
    </row>
    <row r="17" spans="1:51" ht="12.75" customHeight="1" x14ac:dyDescent="0.25">
      <c r="A17" s="99"/>
      <c r="B17" s="192"/>
      <c r="C17" s="254" t="str">
        <f>HYPERLINK("#"&amp;ADDRESS(18,3,1,1,"Measure Qualitative Data"),'Intermediate Data'!A38)</f>
        <v>Energy Star - Compact Vented Electric (240V)</v>
      </c>
      <c r="D17" s="254"/>
      <c r="E17" s="254"/>
      <c r="F17" s="254"/>
      <c r="G17" s="254"/>
      <c r="H17" s="254"/>
      <c r="I17" s="254"/>
      <c r="J17" s="270"/>
      <c r="K17" s="270"/>
      <c r="L17" s="270"/>
      <c r="M17" s="248">
        <f ca="1">'Intermediate Data'!J16</f>
        <v>0</v>
      </c>
      <c r="N17" s="248"/>
      <c r="O17" s="248"/>
      <c r="P17" s="271" t="str">
        <f ca="1">IF('Intermediate Data'!K16=0,$AB$2,'Intermediate Data'!K16)</f>
        <v xml:space="preserve"> </v>
      </c>
      <c r="Q17" s="271"/>
      <c r="R17" s="271"/>
      <c r="S17" s="248" t="str">
        <f ca="1">IF('Intermediate Data'!M16=0,AB2,'Intermediate Data'!M16)</f>
        <v xml:space="preserve"> </v>
      </c>
      <c r="T17" s="248"/>
      <c r="U17" s="248"/>
      <c r="V17" s="248" t="str">
        <f ca="1">IF('Intermediate Data'!N16=0,$AB$2,'Intermediate Data'!N16)</f>
        <v xml:space="preserve"> </v>
      </c>
      <c r="W17" s="248"/>
      <c r="X17" s="248"/>
      <c r="Y17" s="248">
        <f ca="1">IF('Intermediate Data'!P16=0,$AB$2,'Intermediate Data'!P16)</f>
        <v>65</v>
      </c>
      <c r="Z17" s="248"/>
      <c r="AA17" s="248"/>
      <c r="AB17" s="248">
        <f ca="1">IF('Intermediate Data'!Q16=0,$AB$2,'Intermediate Data'!Q16)</f>
        <v>1E-4</v>
      </c>
      <c r="AC17" s="248"/>
      <c r="AD17" s="248"/>
      <c r="AE17" s="299"/>
      <c r="AF17" s="299"/>
      <c r="AG17" s="299"/>
      <c r="AI17" s="380"/>
      <c r="AJ17" s="380"/>
      <c r="AK17" s="380"/>
      <c r="AL17" s="150"/>
      <c r="AM17" s="150"/>
    </row>
    <row r="18" spans="1:51" ht="13.5" customHeight="1" thickBot="1" x14ac:dyDescent="0.3">
      <c r="A18" s="99"/>
      <c r="B18" s="193"/>
      <c r="C18" s="256" t="str">
        <f>HYPERLINK("#"&amp;ADDRESS(19,3,1,1,"Measure Qualitative Data"),'Intermediate Data'!A39)</f>
        <v>Energy Star - Compact Ventless Electric (240V)</v>
      </c>
      <c r="D18" s="256"/>
      <c r="E18" s="256"/>
      <c r="F18" s="256"/>
      <c r="G18" s="256"/>
      <c r="H18" s="256"/>
      <c r="I18" s="256"/>
      <c r="J18" s="268"/>
      <c r="K18" s="268"/>
      <c r="L18" s="268"/>
      <c r="M18" s="246">
        <f ca="1">'Intermediate Data'!J17</f>
        <v>0</v>
      </c>
      <c r="N18" s="246"/>
      <c r="O18" s="246"/>
      <c r="P18" s="257" t="str">
        <f ca="1">IF('Intermediate Data'!K17=0,$AB$2,'Intermediate Data'!K17)</f>
        <v xml:space="preserve"> </v>
      </c>
      <c r="Q18" s="257"/>
      <c r="R18" s="257"/>
      <c r="S18" s="246" t="str">
        <f ca="1">IF('Intermediate Data'!M17=0,AB2,'Intermediate Data'!M17)</f>
        <v xml:space="preserve"> </v>
      </c>
      <c r="T18" s="246"/>
      <c r="U18" s="246"/>
      <c r="V18" s="246" t="str">
        <f ca="1">IF('Intermediate Data'!N17=0,$AB$2,'Intermediate Data'!N17)</f>
        <v xml:space="preserve"> </v>
      </c>
      <c r="W18" s="246"/>
      <c r="X18" s="246"/>
      <c r="Y18" s="246">
        <f ca="1">IF('Intermediate Data'!P17=0,$AB$2,'Intermediate Data'!P17)</f>
        <v>82</v>
      </c>
      <c r="Z18" s="246"/>
      <c r="AA18" s="246"/>
      <c r="AB18" s="246">
        <f ca="1">IF('Intermediate Data'!Q17=0,$AB$2,'Intermediate Data'!Q17)</f>
        <v>1E-4</v>
      </c>
      <c r="AC18" s="246"/>
      <c r="AD18" s="246"/>
      <c r="AE18" s="296"/>
      <c r="AF18" s="296"/>
      <c r="AG18" s="296"/>
      <c r="AI18" s="380"/>
      <c r="AJ18" s="380"/>
      <c r="AK18" s="380"/>
      <c r="AL18" s="150"/>
      <c r="AM18" s="150"/>
    </row>
    <row r="19" spans="1:51" s="9" customFormat="1" ht="13.5" customHeight="1" x14ac:dyDescent="0.25">
      <c r="A19" s="99"/>
      <c r="B19" s="201" t="s">
        <v>3</v>
      </c>
      <c r="C19" s="291" t="str">
        <f>HYPERLINK("#"&amp;ADDRESS(20,3,1,1,"Measure Qualitative Data"),'Intermediate Data'!A40)</f>
        <v>Vented Gas</v>
      </c>
      <c r="D19" s="291"/>
      <c r="E19" s="291"/>
      <c r="F19" s="291"/>
      <c r="G19" s="291"/>
      <c r="H19" s="291"/>
      <c r="I19" s="291"/>
      <c r="J19" s="297">
        <f ca="1">HLOOKUP(VLOOKUP('Intermediate Data'!V2,'Intermediate Data'!$W$2:$X$6,2,FALSE),'Intermediate Data'!$D$5:$I$19,14,FALSE)</f>
        <v>0.48</v>
      </c>
      <c r="K19" s="297"/>
      <c r="L19" s="298"/>
      <c r="M19" s="247">
        <f ca="1">'Intermediate Data'!J18</f>
        <v>149</v>
      </c>
      <c r="N19" s="247"/>
      <c r="O19" s="247"/>
      <c r="P19" s="339">
        <f ca="1">IF('Intermediate Data'!K18=0,$AB$2,'Intermediate Data'!K18)</f>
        <v>1011.882882882883</v>
      </c>
      <c r="Q19" s="339"/>
      <c r="R19" s="339"/>
      <c r="S19" s="247">
        <f ca="1">IF('Intermediate Data'!M18=0,AB2,'Intermediate Data'!M18)</f>
        <v>856.25</v>
      </c>
      <c r="T19" s="247"/>
      <c r="U19" s="247"/>
      <c r="V19" s="247" t="str">
        <f ca="1">IF('Intermediate Data'!N18=0,$AB$2,'Intermediate Data'!N18)</f>
        <v xml:space="preserve"> </v>
      </c>
      <c r="W19" s="247"/>
      <c r="X19" s="247"/>
      <c r="Y19" s="247">
        <f ca="1">'Intermediate Data'!P18</f>
        <v>1.0000000000000001E-5</v>
      </c>
      <c r="Z19" s="247"/>
      <c r="AA19" s="247"/>
      <c r="AB19" s="247">
        <f ca="1">IF('Intermediate Data'!Q18=0,$AB$2,'Intermediate Data'!Q18)</f>
        <v>1.0000000000000001E-5</v>
      </c>
      <c r="AC19" s="247"/>
      <c r="AD19" s="247"/>
      <c r="AE19" s="336">
        <f>'Intermediate Data'!T18</f>
        <v>1</v>
      </c>
      <c r="AF19" s="337"/>
      <c r="AG19" s="338"/>
      <c r="AH19"/>
      <c r="AI19" s="380"/>
      <c r="AJ19" s="380"/>
      <c r="AK19" s="380"/>
      <c r="AL19" s="219"/>
      <c r="AM19" s="219"/>
    </row>
    <row r="20" spans="1:51" ht="12.75" customHeight="1" thickBot="1" x14ac:dyDescent="0.3">
      <c r="A20" s="99"/>
      <c r="B20" s="202"/>
      <c r="C20" s="256" t="str">
        <f>HYPERLINK("#"&amp;ADDRESS(21,3,1,1,"Measure Qualitative Data"),'Intermediate Data'!A41)</f>
        <v>Energy Star - Standard Gas</v>
      </c>
      <c r="D20" s="256"/>
      <c r="E20" s="256"/>
      <c r="F20" s="256"/>
      <c r="G20" s="256"/>
      <c r="H20" s="256"/>
      <c r="I20" s="256"/>
      <c r="J20" s="268"/>
      <c r="K20" s="268"/>
      <c r="L20" s="269"/>
      <c r="M20" s="246">
        <f ca="1">'Intermediate Data'!J19</f>
        <v>8</v>
      </c>
      <c r="N20" s="246"/>
      <c r="O20" s="246"/>
      <c r="P20" s="257">
        <f ca="1">IF('Intermediate Data'!K19=0,$AB$2,'Intermediate Data'!K19)</f>
        <v>1105.8687500000001</v>
      </c>
      <c r="Q20" s="257"/>
      <c r="R20" s="257"/>
      <c r="S20" s="246">
        <f ca="1">'Intermediate Data'!M19</f>
        <v>685</v>
      </c>
      <c r="T20" s="246"/>
      <c r="U20" s="246"/>
      <c r="V20" s="246" t="str">
        <f ca="1">IF('Intermediate Data'!N19=0,$AB$2,'Intermediate Data'!N19)</f>
        <v xml:space="preserve"> </v>
      </c>
      <c r="W20" s="246"/>
      <c r="X20" s="246"/>
      <c r="Y20" s="246">
        <f ca="1">IF('Intermediate Data'!P19=0,$AB$2,'Intermediate Data'!P19)</f>
        <v>30</v>
      </c>
      <c r="Z20" s="246"/>
      <c r="AA20" s="246"/>
      <c r="AB20" s="376">
        <f ca="1">IF('Intermediate Data'!Q19=0,$AB$2,'Intermediate Data'!Q19)</f>
        <v>0.54</v>
      </c>
      <c r="AC20" s="376"/>
      <c r="AD20" s="376"/>
      <c r="AE20" s="293">
        <f>'Intermediate Data'!T19</f>
        <v>1</v>
      </c>
      <c r="AF20" s="294"/>
      <c r="AG20" s="295"/>
      <c r="AI20" s="380"/>
      <c r="AJ20" s="380"/>
      <c r="AK20" s="380"/>
      <c r="AL20" s="219"/>
      <c r="AM20" s="219"/>
    </row>
    <row r="21" spans="1:51" ht="12.75" customHeight="1" x14ac:dyDescent="0.2">
      <c r="A21" s="99"/>
      <c r="B21" s="99"/>
      <c r="C21" s="99"/>
      <c r="D21" s="99"/>
      <c r="E21" s="99"/>
      <c r="F21" s="99"/>
      <c r="G21" s="99"/>
      <c r="H21" s="99"/>
      <c r="I21" s="99"/>
      <c r="J21" s="286" t="str">
        <f ca="1">HYPERLINK("#"&amp;ADDRESS(6,HLOOKUP(VLOOKUP('Intermediate Data'!V2,'Intermediate Data'!$W$2:$X$6,2,FALSE),'Intermediate Data'!$D$5:$I$7,3,FALSE),1,1,"Measure Quantitative Data"),"Data")</f>
        <v>Data</v>
      </c>
      <c r="K21" s="286"/>
      <c r="L21" s="286"/>
      <c r="M21" s="286" t="str">
        <f ca="1">HYPERLINK("#"&amp;ADDRESS(6,'Intermediate Data'!J7,1,1,"Measure Quantitative Data"),"Data")</f>
        <v>Data</v>
      </c>
      <c r="N21" s="286"/>
      <c r="O21" s="286"/>
      <c r="P21" s="286" t="str">
        <f ca="1">HYPERLINK("#"&amp;ADDRESS(6,'Intermediate Data'!K7,1,1,"Measure Quantitative Data"),"Data")</f>
        <v>Data</v>
      </c>
      <c r="Q21" s="286"/>
      <c r="R21" s="286"/>
      <c r="S21" s="286" t="str">
        <f ca="1">HYPERLINK("#"&amp;ADDRESS(6,'Intermediate Data'!M7,1,1,"Measure Quantitative Data"),"Data")</f>
        <v>Data</v>
      </c>
      <c r="T21" s="286"/>
      <c r="U21" s="286"/>
      <c r="V21" s="286" t="str">
        <f ca="1">HYPERLINK("#"&amp;ADDRESS(6,'Intermediate Data'!N7,1,1,"Measure Quantitative Data"),"Data")</f>
        <v>Data</v>
      </c>
      <c r="W21" s="286"/>
      <c r="X21" s="286"/>
      <c r="Y21" s="286" t="str">
        <f ca="1">HYPERLINK("#"&amp;ADDRESS(6,'Intermediate Data'!P7,1,1,"Measure Quantitative Data"),"Data")</f>
        <v>Data</v>
      </c>
      <c r="Z21" s="286"/>
      <c r="AA21" s="286"/>
      <c r="AB21" s="286" t="str">
        <f ca="1">HYPERLINK("#"&amp;ADDRESS(6,'Intermediate Data'!Q7,1,1,"Measure Quantitative Data"),"Data")</f>
        <v>Data</v>
      </c>
      <c r="AC21" s="286"/>
      <c r="AD21" s="286"/>
      <c r="AE21" s="286" t="str">
        <f ca="1">HYPERLINK("#"&amp;ADDRESS(6,'Intermediate Data'!T7,1,1,"Measure Qualitative Data"),"Data")</f>
        <v>Data</v>
      </c>
      <c r="AF21" s="286"/>
      <c r="AG21" s="286"/>
      <c r="AI21" s="286" t="str">
        <f>HYPERLINK('Source Info'!A28,"Data")</f>
        <v>Data</v>
      </c>
      <c r="AJ21" s="286"/>
      <c r="AK21" s="286"/>
    </row>
    <row r="22" spans="1:51" ht="52.5" customHeight="1" x14ac:dyDescent="0.2">
      <c r="A22" s="99"/>
      <c r="B22" s="99"/>
      <c r="C22" s="306" t="s">
        <v>887</v>
      </c>
      <c r="D22" s="306"/>
      <c r="E22" s="306"/>
      <c r="F22" s="306"/>
      <c r="G22" s="306"/>
      <c r="H22" s="306"/>
      <c r="I22" s="306"/>
      <c r="J22" s="346" t="s">
        <v>791</v>
      </c>
      <c r="K22" s="346"/>
      <c r="L22" s="346"/>
      <c r="M22" s="290"/>
      <c r="N22" s="290"/>
      <c r="O22" s="290"/>
      <c r="P22" s="167"/>
      <c r="Q22" s="167"/>
      <c r="R22" s="167"/>
      <c r="S22" s="290" t="s">
        <v>750</v>
      </c>
      <c r="T22" s="290"/>
      <c r="U22" s="290"/>
      <c r="V22" s="99"/>
      <c r="W22" s="99"/>
      <c r="X22" s="99"/>
      <c r="Y22" s="290" t="s">
        <v>750</v>
      </c>
      <c r="Z22" s="290"/>
      <c r="AA22" s="290"/>
      <c r="AL22" s="217"/>
      <c r="AM22" s="218"/>
      <c r="AN22" s="218"/>
      <c r="AO22" s="16"/>
    </row>
    <row r="23" spans="1:51" ht="23.25" x14ac:dyDescent="0.35">
      <c r="A23" s="99"/>
      <c r="B23" s="97" t="s">
        <v>712</v>
      </c>
      <c r="C23" s="98"/>
      <c r="D23" s="101"/>
      <c r="E23" s="101"/>
      <c r="F23" s="101"/>
      <c r="G23" s="98"/>
      <c r="H23" s="98"/>
      <c r="I23" s="98"/>
      <c r="J23" s="98"/>
      <c r="K23" s="98"/>
      <c r="L23" s="98"/>
      <c r="M23" s="8"/>
      <c r="N23" s="350" t="s">
        <v>676</v>
      </c>
      <c r="O23" s="350"/>
      <c r="P23" s="350"/>
      <c r="Q23" s="350"/>
      <c r="R23" s="350"/>
      <c r="S23" s="350"/>
      <c r="T23" s="350"/>
      <c r="U23" s="350"/>
      <c r="V23" s="350"/>
      <c r="W23" s="350"/>
      <c r="X23" s="350"/>
      <c r="Y23" s="350"/>
      <c r="Z23" s="98"/>
      <c r="AA23" s="98"/>
      <c r="AB23" s="98"/>
      <c r="AC23" s="8"/>
      <c r="AD23" s="97" t="s">
        <v>782</v>
      </c>
      <c r="AE23" s="98"/>
      <c r="AF23" s="98"/>
      <c r="AG23" s="98"/>
      <c r="AH23" s="98"/>
      <c r="AI23" s="98"/>
      <c r="AJ23" s="97"/>
      <c r="AK23" s="97"/>
      <c r="AL23" s="97"/>
      <c r="AM23" s="97"/>
    </row>
    <row r="24" spans="1:51" ht="42" customHeight="1" x14ac:dyDescent="0.2">
      <c r="A24" s="99"/>
      <c r="B24" s="310" t="s">
        <v>671</v>
      </c>
      <c r="C24" s="310"/>
      <c r="D24" s="310"/>
      <c r="E24" s="309" t="s">
        <v>669</v>
      </c>
      <c r="F24" s="310"/>
      <c r="G24" s="310"/>
      <c r="H24" s="311"/>
      <c r="I24" s="309" t="s">
        <v>670</v>
      </c>
      <c r="J24" s="310"/>
      <c r="K24" s="310"/>
      <c r="L24" s="310"/>
      <c r="M24" s="146"/>
      <c r="N24" s="145"/>
      <c r="O24" s="121"/>
      <c r="P24" s="121"/>
      <c r="Q24" s="121"/>
      <c r="R24" s="121"/>
      <c r="S24" s="121"/>
      <c r="T24" s="121"/>
      <c r="U24" s="121"/>
      <c r="V24" s="122"/>
      <c r="W24" s="121"/>
      <c r="X24" s="120"/>
      <c r="Y24" s="120"/>
      <c r="Z24" s="120"/>
      <c r="AA24" s="120"/>
      <c r="AB24" s="120"/>
      <c r="AC24" s="119"/>
      <c r="AD24" s="284" t="s">
        <v>903</v>
      </c>
      <c r="AE24" s="284"/>
      <c r="AF24" s="284"/>
      <c r="AG24" s="284"/>
      <c r="AH24" s="284"/>
      <c r="AI24" s="284"/>
      <c r="AJ24" s="284"/>
      <c r="AK24" s="284"/>
      <c r="AL24" s="234"/>
      <c r="AM24" s="234"/>
    </row>
    <row r="25" spans="1:51" ht="35.1" customHeight="1" x14ac:dyDescent="0.2">
      <c r="A25" s="99"/>
      <c r="B25" s="308" t="str">
        <f>'Intermediate Data'!A30</f>
        <v>Standard  Electric</v>
      </c>
      <c r="C25" s="308"/>
      <c r="D25" s="308"/>
      <c r="E25" s="363" t="str">
        <f>'Intermediate Data'!B30</f>
        <v>Short dry time</v>
      </c>
      <c r="F25" s="364"/>
      <c r="G25" s="364"/>
      <c r="H25" s="365"/>
      <c r="I25" s="366" t="str">
        <f>'Intermediate Data'!C30</f>
        <v>N/A</v>
      </c>
      <c r="J25" s="367"/>
      <c r="K25" s="367"/>
      <c r="L25" s="368"/>
      <c r="M25" s="142"/>
      <c r="N25" s="121"/>
      <c r="O25" s="121"/>
      <c r="P25" s="121"/>
      <c r="Q25" s="121"/>
      <c r="R25" s="121"/>
      <c r="S25" s="121"/>
      <c r="T25" s="121"/>
      <c r="U25" s="121"/>
      <c r="V25" s="121"/>
      <c r="W25" s="121"/>
      <c r="X25" s="120"/>
      <c r="Y25" s="120"/>
      <c r="Z25" s="120"/>
      <c r="AA25" s="120"/>
      <c r="AB25" s="120"/>
      <c r="AC25" s="8"/>
      <c r="AD25" s="285"/>
      <c r="AE25" s="285"/>
      <c r="AF25" s="285"/>
      <c r="AG25" s="285"/>
      <c r="AH25" s="285"/>
      <c r="AI25" s="285"/>
      <c r="AJ25" s="285"/>
      <c r="AK25" s="285"/>
      <c r="AL25" s="235"/>
      <c r="AM25" s="235"/>
      <c r="AN25" s="197"/>
      <c r="AO25" s="197"/>
      <c r="AP25" s="197"/>
      <c r="AQ25" s="197"/>
      <c r="AR25" s="197"/>
      <c r="AS25" s="197"/>
      <c r="AT25" s="197"/>
      <c r="AU25" s="197"/>
      <c r="AV25" s="197"/>
      <c r="AW25" s="197"/>
      <c r="AX25" s="197"/>
      <c r="AY25" s="197"/>
    </row>
    <row r="26" spans="1:51" s="9" customFormat="1" ht="39" customHeight="1" thickBot="1" x14ac:dyDescent="0.25">
      <c r="A26" s="99"/>
      <c r="B26" s="289" t="str">
        <f>'Intermediate Data'!A31</f>
        <v>Energy Star - Standard  Electric</v>
      </c>
      <c r="C26" s="289"/>
      <c r="D26" s="289"/>
      <c r="E26" s="324" t="str">
        <f>'Intermediate Data'!B31</f>
        <v>Improved sensors/controls</v>
      </c>
      <c r="F26" s="325"/>
      <c r="G26" s="325"/>
      <c r="H26" s="326"/>
      <c r="I26" s="321" t="str">
        <f>'Intermediate Data'!C31</f>
        <v>Cost, consumer awareness, product availability</v>
      </c>
      <c r="J26" s="322"/>
      <c r="K26" s="322"/>
      <c r="L26" s="323"/>
      <c r="M26" s="142"/>
      <c r="N26" s="121"/>
      <c r="O26" s="121"/>
      <c r="P26" s="121"/>
      <c r="Q26" s="121"/>
      <c r="R26" s="121"/>
      <c r="S26" s="121"/>
      <c r="T26" s="121"/>
      <c r="U26" s="121"/>
      <c r="V26" s="121"/>
      <c r="W26" s="121"/>
      <c r="X26" s="120"/>
      <c r="Y26" s="120"/>
      <c r="Z26" s="120"/>
      <c r="AA26" s="120"/>
      <c r="AB26" s="120"/>
      <c r="AC26" s="118"/>
      <c r="AD26" s="285"/>
      <c r="AE26" s="285"/>
      <c r="AF26" s="285"/>
      <c r="AG26" s="285"/>
      <c r="AH26" s="285"/>
      <c r="AI26" s="285"/>
      <c r="AJ26" s="285"/>
      <c r="AK26" s="285"/>
      <c r="AL26" s="235"/>
      <c r="AM26" s="235"/>
      <c r="AN26" s="197"/>
      <c r="AO26" s="197"/>
      <c r="AP26" s="197"/>
      <c r="AQ26" s="197"/>
      <c r="AR26" s="197"/>
      <c r="AS26" s="197"/>
      <c r="AT26" s="197"/>
      <c r="AU26" s="197"/>
      <c r="AV26" s="197"/>
      <c r="AW26" s="197"/>
      <c r="AX26" s="197"/>
      <c r="AY26" s="197"/>
    </row>
    <row r="27" spans="1:51" s="9" customFormat="1" ht="24.75" customHeight="1" x14ac:dyDescent="0.2">
      <c r="A27" s="99"/>
      <c r="B27" s="300" t="str">
        <f>'Intermediate Data'!A32</f>
        <v>ENERGY STAR 2014 ET Heat Pump Hybrid</v>
      </c>
      <c r="C27" s="301"/>
      <c r="D27" s="302"/>
      <c r="E27" s="303" t="str">
        <f>'Intermediate Data'!B32</f>
        <v>Improved sensors/controls, troubleshooting technology</v>
      </c>
      <c r="F27" s="304"/>
      <c r="G27" s="304"/>
      <c r="H27" s="305"/>
      <c r="I27" s="360" t="str">
        <f>'Intermediate Data'!C32</f>
        <v>Availability, longer drying times, consumer skepticism, cost, retail/manufacturer uncertainty for demand (reluctance to stock)</v>
      </c>
      <c r="J27" s="361"/>
      <c r="K27" s="361"/>
      <c r="L27" s="362"/>
      <c r="M27" s="142"/>
      <c r="N27" s="121"/>
      <c r="O27" s="121"/>
      <c r="P27" s="121"/>
      <c r="Q27" s="121"/>
      <c r="R27" s="121"/>
      <c r="S27" s="121"/>
      <c r="T27" s="121"/>
      <c r="U27" s="121"/>
      <c r="V27" s="121"/>
      <c r="W27" s="121"/>
      <c r="X27" s="120"/>
      <c r="Y27" s="120"/>
      <c r="Z27" s="120"/>
      <c r="AA27" s="120"/>
      <c r="AB27" s="120"/>
      <c r="AC27" s="8"/>
      <c r="AD27" s="285"/>
      <c r="AE27" s="285"/>
      <c r="AF27" s="285"/>
      <c r="AG27" s="285"/>
      <c r="AH27" s="285"/>
      <c r="AI27" s="285"/>
      <c r="AJ27" s="285"/>
      <c r="AK27" s="285"/>
      <c r="AL27" s="235"/>
      <c r="AM27" s="235"/>
      <c r="AN27" s="197"/>
      <c r="AO27" s="197"/>
      <c r="AP27" s="197"/>
      <c r="AQ27" s="197"/>
      <c r="AR27" s="197"/>
      <c r="AS27" s="197"/>
      <c r="AT27" s="197"/>
      <c r="AU27" s="197"/>
      <c r="AV27" s="197"/>
      <c r="AW27" s="197"/>
      <c r="AX27" s="197"/>
      <c r="AY27" s="197"/>
    </row>
    <row r="28" spans="1:51" s="9" customFormat="1" ht="17.25" customHeight="1" x14ac:dyDescent="0.2">
      <c r="A28" s="99"/>
      <c r="B28" s="275"/>
      <c r="C28" s="276"/>
      <c r="D28" s="277"/>
      <c r="E28" s="281"/>
      <c r="F28" s="282"/>
      <c r="G28" s="282"/>
      <c r="H28" s="283"/>
      <c r="I28" s="354"/>
      <c r="J28" s="355"/>
      <c r="K28" s="355"/>
      <c r="L28" s="356"/>
      <c r="M28" s="166"/>
      <c r="N28" s="121"/>
      <c r="O28" s="121"/>
      <c r="P28" s="121"/>
      <c r="Q28" s="121"/>
      <c r="R28" s="121"/>
      <c r="S28" s="121"/>
      <c r="T28" s="121"/>
      <c r="U28" s="121"/>
      <c r="V28" s="121"/>
      <c r="W28" s="121"/>
      <c r="X28" s="120"/>
      <c r="Y28" s="120"/>
      <c r="Z28" s="120"/>
      <c r="AA28" s="120"/>
      <c r="AB28" s="120"/>
      <c r="AC28" s="8"/>
      <c r="AD28" s="285"/>
      <c r="AE28" s="285"/>
      <c r="AF28" s="285"/>
      <c r="AG28" s="285"/>
      <c r="AH28" s="285"/>
      <c r="AI28" s="285"/>
      <c r="AJ28" s="285"/>
      <c r="AK28" s="285"/>
      <c r="AN28" s="197"/>
      <c r="AO28" s="197"/>
      <c r="AP28" s="197"/>
      <c r="AQ28" s="197"/>
      <c r="AR28" s="197"/>
      <c r="AS28" s="197"/>
      <c r="AT28" s="197"/>
      <c r="AU28" s="197"/>
      <c r="AV28" s="197"/>
      <c r="AW28" s="197"/>
      <c r="AX28" s="197"/>
      <c r="AY28" s="197"/>
    </row>
    <row r="29" spans="1:51" ht="54" customHeight="1" thickBot="1" x14ac:dyDescent="0.25">
      <c r="A29" s="99"/>
      <c r="B29" s="289" t="str">
        <f>'Intermediate Data'!A33</f>
        <v>Heat Pump (International)</v>
      </c>
      <c r="C29" s="289"/>
      <c r="D29" s="289"/>
      <c r="E29" s="324" t="str">
        <f>'Intermediate Data'!B33</f>
        <v>Lower air temp increases clothing life, no vent (avoids air loss, flexible placement, lower installed cost)</v>
      </c>
      <c r="F29" s="325"/>
      <c r="G29" s="325"/>
      <c r="H29" s="326"/>
      <c r="I29" s="357"/>
      <c r="J29" s="358"/>
      <c r="K29" s="358"/>
      <c r="L29" s="359"/>
      <c r="M29" s="142"/>
      <c r="N29" s="121"/>
      <c r="O29" s="121"/>
      <c r="P29" s="121"/>
      <c r="Q29" s="121"/>
      <c r="R29" s="121"/>
      <c r="S29" s="121"/>
      <c r="T29" s="121"/>
      <c r="U29" s="121"/>
      <c r="V29" s="121"/>
      <c r="W29" s="121"/>
      <c r="X29" s="120"/>
      <c r="Y29" s="120"/>
      <c r="Z29" s="120"/>
      <c r="AA29" s="120"/>
      <c r="AB29" s="120"/>
      <c r="AC29" s="118"/>
      <c r="AD29" s="285"/>
      <c r="AE29" s="285"/>
      <c r="AF29" s="285"/>
      <c r="AG29" s="285"/>
      <c r="AH29" s="285"/>
      <c r="AI29" s="285"/>
      <c r="AJ29" s="285"/>
      <c r="AK29" s="285"/>
      <c r="AN29" s="197"/>
      <c r="AO29" s="197"/>
      <c r="AP29" s="197"/>
      <c r="AQ29" s="197"/>
      <c r="AR29" s="197"/>
      <c r="AS29" s="197"/>
      <c r="AT29" s="197"/>
      <c r="AU29" s="197"/>
      <c r="AV29" s="197"/>
      <c r="AW29" s="197"/>
      <c r="AX29" s="197"/>
      <c r="AY29" s="197"/>
    </row>
    <row r="30" spans="1:51" ht="40.5" customHeight="1" x14ac:dyDescent="0.2">
      <c r="A30" s="99"/>
      <c r="B30" s="327" t="str">
        <f>'Intermediate Data'!A42</f>
        <v>Compact Electric</v>
      </c>
      <c r="C30" s="327"/>
      <c r="D30" s="327"/>
      <c r="E30" s="281" t="str">
        <f>'Intermediate Data'!B34</f>
        <v>Short dry time, saves space</v>
      </c>
      <c r="F30" s="282"/>
      <c r="G30" s="282"/>
      <c r="H30" s="283"/>
      <c r="I30" s="318" t="str">
        <f>'Intermediate Data'!C34</f>
        <v>Capacity</v>
      </c>
      <c r="J30" s="319"/>
      <c r="K30" s="319"/>
      <c r="L30" s="320"/>
      <c r="M30" s="142"/>
      <c r="N30" s="369" t="s">
        <v>678</v>
      </c>
      <c r="O30" s="369"/>
      <c r="P30" s="369"/>
      <c r="Q30" s="369"/>
      <c r="R30" s="369"/>
      <c r="S30" s="369"/>
      <c r="T30" s="369"/>
      <c r="U30" s="369"/>
      <c r="V30" s="369"/>
      <c r="W30" s="369"/>
      <c r="X30" s="369"/>
      <c r="Y30" s="369"/>
      <c r="Z30" s="369"/>
      <c r="AA30" s="369"/>
      <c r="AB30" s="369"/>
      <c r="AC30" s="8"/>
      <c r="AD30" s="285"/>
      <c r="AE30" s="285"/>
      <c r="AF30" s="285"/>
      <c r="AG30" s="285"/>
      <c r="AH30" s="285"/>
      <c r="AI30" s="285"/>
      <c r="AJ30" s="285"/>
      <c r="AK30" s="285"/>
      <c r="AL30" s="198"/>
      <c r="AM30" s="198"/>
      <c r="AN30" s="197"/>
      <c r="AO30" s="197"/>
      <c r="AP30" s="197"/>
      <c r="AQ30" s="197"/>
      <c r="AR30" s="197"/>
      <c r="AS30" s="197"/>
      <c r="AT30" s="197"/>
      <c r="AU30" s="197"/>
      <c r="AV30" s="197"/>
      <c r="AW30" s="197"/>
      <c r="AX30" s="197"/>
      <c r="AY30" s="197"/>
    </row>
    <row r="31" spans="1:51" ht="20.25" customHeight="1" x14ac:dyDescent="0.25">
      <c r="A31" s="99"/>
      <c r="B31" s="272" t="s">
        <v>772</v>
      </c>
      <c r="C31" s="273"/>
      <c r="D31" s="274"/>
      <c r="E31" s="278" t="str">
        <f>'Intermediate Data'!B37</f>
        <v>Saves space, improved sensors/controls</v>
      </c>
      <c r="F31" s="279"/>
      <c r="G31" s="279"/>
      <c r="H31" s="280"/>
      <c r="I31" s="354" t="str">
        <f>'Intermediate Data'!C37</f>
        <v>Availability</v>
      </c>
      <c r="J31" s="355"/>
      <c r="K31" s="355"/>
      <c r="L31" s="356"/>
      <c r="M31" s="142"/>
      <c r="N31" s="370" t="str">
        <f>HYPERLINK("#"&amp;ADDRESS(1,1,1,1,"Codes and Specs Data"),"Data")</f>
        <v>Data</v>
      </c>
      <c r="O31" s="371"/>
      <c r="P31" s="371"/>
      <c r="Q31" s="371"/>
      <c r="R31" s="371"/>
      <c r="S31" s="371"/>
      <c r="T31" s="371"/>
      <c r="U31" s="371"/>
      <c r="V31" s="371"/>
      <c r="W31" s="371"/>
      <c r="X31" s="371"/>
      <c r="Y31" s="371"/>
      <c r="Z31" s="371"/>
      <c r="AA31" s="371"/>
      <c r="AB31" s="371"/>
      <c r="AC31" s="117"/>
      <c r="AD31" s="233" t="s">
        <v>885</v>
      </c>
      <c r="AJ31" s="199"/>
      <c r="AK31" s="199"/>
      <c r="AL31" s="199"/>
      <c r="AM31" s="199"/>
      <c r="AN31" s="9"/>
      <c r="AO31" s="9"/>
      <c r="AP31" s="9"/>
      <c r="AQ31" s="9"/>
      <c r="AR31" s="9"/>
      <c r="AS31" s="9"/>
      <c r="AT31" s="9"/>
      <c r="AU31" s="9"/>
      <c r="AV31" s="9"/>
      <c r="AW31" s="9"/>
      <c r="AX31" s="9"/>
      <c r="AY31" s="9"/>
    </row>
    <row r="32" spans="1:51" s="9" customFormat="1" ht="14.25" customHeight="1" x14ac:dyDescent="0.2">
      <c r="A32" s="99"/>
      <c r="B32" s="275"/>
      <c r="C32" s="276"/>
      <c r="D32" s="277"/>
      <c r="E32" s="281"/>
      <c r="F32" s="282"/>
      <c r="G32" s="282"/>
      <c r="H32" s="283"/>
      <c r="I32" s="354"/>
      <c r="J32" s="355"/>
      <c r="K32" s="355"/>
      <c r="L32" s="356"/>
      <c r="M32" s="229"/>
      <c r="N32" s="230"/>
      <c r="O32" s="231"/>
      <c r="P32" s="231"/>
      <c r="Q32" s="231"/>
      <c r="R32" s="231"/>
      <c r="S32" s="231"/>
      <c r="T32" s="231"/>
      <c r="U32" s="231"/>
      <c r="V32" s="231"/>
      <c r="W32" s="231"/>
      <c r="X32" s="231"/>
      <c r="Y32" s="231"/>
      <c r="Z32" s="231"/>
      <c r="AA32" s="231"/>
      <c r="AB32" s="231"/>
      <c r="AC32" s="117"/>
      <c r="AD32" s="194" t="s">
        <v>783</v>
      </c>
      <c r="AE32" s="7"/>
      <c r="AF32" s="7"/>
      <c r="AG32" s="7"/>
      <c r="AH32" s="7"/>
      <c r="AI32" s="200" t="s">
        <v>785</v>
      </c>
      <c r="AJ32" s="199"/>
      <c r="AK32" s="199"/>
      <c r="AL32" s="199"/>
      <c r="AM32" s="199"/>
    </row>
    <row r="33" spans="1:51" ht="66.75" customHeight="1" thickBot="1" x14ac:dyDescent="0.25">
      <c r="A33" s="99"/>
      <c r="B33" s="289" t="s">
        <v>773</v>
      </c>
      <c r="C33" s="289"/>
      <c r="D33" s="289"/>
      <c r="E33" s="324" t="str">
        <f>'Intermediate Data'!B39</f>
        <v>Saves space, improved sensors/controls, no vent (avoids air loss, allows flexibility in location, no construction needed for vent placement)</v>
      </c>
      <c r="F33" s="325"/>
      <c r="G33" s="325"/>
      <c r="H33" s="326"/>
      <c r="I33" s="357"/>
      <c r="J33" s="358"/>
      <c r="K33" s="358"/>
      <c r="L33" s="359"/>
      <c r="M33" s="142"/>
      <c r="N33" s="287" t="s">
        <v>799</v>
      </c>
      <c r="O33" s="288"/>
      <c r="P33" s="288"/>
      <c r="Q33" s="288"/>
      <c r="R33" s="288"/>
      <c r="S33" s="288"/>
      <c r="T33" s="288"/>
      <c r="U33" s="288"/>
      <c r="V33" s="288"/>
      <c r="W33" s="288"/>
      <c r="X33" s="288"/>
      <c r="Y33" s="288"/>
      <c r="Z33" s="288"/>
      <c r="AA33" s="288"/>
      <c r="AB33" s="288"/>
      <c r="AC33" s="99"/>
      <c r="AD33" s="307" t="s">
        <v>784</v>
      </c>
      <c r="AE33" s="307"/>
      <c r="AF33" s="307"/>
      <c r="AG33" s="307"/>
      <c r="AH33" s="307"/>
      <c r="AI33" s="375" t="s">
        <v>886</v>
      </c>
      <c r="AJ33" s="375"/>
      <c r="AK33" s="375"/>
      <c r="AL33" s="375"/>
      <c r="AM33" s="375"/>
      <c r="AN33" s="9"/>
      <c r="AO33" s="9"/>
      <c r="AP33" s="9"/>
      <c r="AQ33" s="9"/>
      <c r="AR33" s="9"/>
      <c r="AS33" s="9"/>
      <c r="AT33" s="9"/>
      <c r="AU33" s="9"/>
      <c r="AV33" s="9"/>
      <c r="AW33" s="9"/>
      <c r="AX33" s="9"/>
      <c r="AY33" s="9"/>
    </row>
    <row r="34" spans="1:51" ht="50.1" customHeight="1" x14ac:dyDescent="0.35">
      <c r="A34" s="99"/>
      <c r="B34" s="327" t="s">
        <v>66</v>
      </c>
      <c r="C34" s="327"/>
      <c r="D34" s="327"/>
      <c r="E34" s="312" t="str">
        <f>'Intermediate Data'!B40</f>
        <v>Short dry time</v>
      </c>
      <c r="F34" s="313"/>
      <c r="G34" s="313"/>
      <c r="H34" s="314"/>
      <c r="I34" s="315" t="str">
        <f>'Intermediate Data'!C40</f>
        <v>N/A</v>
      </c>
      <c r="J34" s="316"/>
      <c r="K34" s="316"/>
      <c r="L34" s="317"/>
      <c r="M34" s="99"/>
      <c r="N34" s="350" t="s">
        <v>732</v>
      </c>
      <c r="O34" s="350"/>
      <c r="P34" s="350"/>
      <c r="Q34" s="350"/>
      <c r="R34" s="350"/>
      <c r="S34" s="350"/>
      <c r="T34" s="154"/>
      <c r="U34" s="350" t="s">
        <v>733</v>
      </c>
      <c r="V34" s="350"/>
      <c r="W34" s="350"/>
      <c r="X34" s="350"/>
      <c r="Y34" s="350"/>
      <c r="Z34" s="350"/>
      <c r="AA34" s="99"/>
      <c r="AB34" s="374" t="s">
        <v>807</v>
      </c>
      <c r="AC34" s="374"/>
      <c r="AD34" s="374"/>
      <c r="AE34" s="374"/>
      <c r="AF34" s="374"/>
      <c r="AG34" s="374"/>
      <c r="AK34" s="9"/>
      <c r="AL34" s="9"/>
      <c r="AM34" s="9"/>
      <c r="AN34" s="9"/>
      <c r="AO34" s="9"/>
      <c r="AP34" s="9"/>
      <c r="AQ34" s="9"/>
      <c r="AR34" s="9"/>
      <c r="AS34" s="9"/>
      <c r="AT34" s="9"/>
      <c r="AU34" s="9"/>
      <c r="AV34" s="9"/>
      <c r="AW34" s="9"/>
      <c r="AX34" s="9"/>
      <c r="AY34" s="9"/>
    </row>
    <row r="35" spans="1:51" ht="55.5" customHeight="1" x14ac:dyDescent="0.2">
      <c r="A35" s="99"/>
      <c r="B35" s="328" t="s">
        <v>774</v>
      </c>
      <c r="C35" s="328"/>
      <c r="D35" s="329"/>
      <c r="E35" s="330" t="str">
        <f>'Intermediate Data'!B41</f>
        <v>Improved sensors/controls</v>
      </c>
      <c r="F35" s="330"/>
      <c r="G35" s="330"/>
      <c r="H35" s="330"/>
      <c r="I35" s="355" t="str">
        <f>'Intermediate Data'!C41</f>
        <v>Cost, consumer awareness, availability</v>
      </c>
      <c r="J35" s="355"/>
      <c r="K35" s="355"/>
      <c r="L35" s="356"/>
      <c r="M35" s="99"/>
      <c r="N35" s="347" t="s">
        <v>868</v>
      </c>
      <c r="O35" s="348"/>
      <c r="P35" s="348"/>
      <c r="Q35" s="348"/>
      <c r="R35" s="348"/>
      <c r="S35" s="348"/>
      <c r="T35" s="140"/>
      <c r="U35" s="351" t="s">
        <v>812</v>
      </c>
      <c r="V35" s="352"/>
      <c r="W35" s="352"/>
      <c r="X35" s="352"/>
      <c r="Y35" s="352"/>
      <c r="Z35" s="352"/>
      <c r="AA35" s="99"/>
      <c r="AB35" s="372" t="s">
        <v>808</v>
      </c>
      <c r="AC35" s="373"/>
      <c r="AD35" s="373"/>
      <c r="AE35" s="373"/>
      <c r="AF35" s="373"/>
      <c r="AG35" s="373"/>
      <c r="AH35" s="373"/>
      <c r="AK35" s="195"/>
      <c r="AL35" s="195"/>
      <c r="AM35" s="195"/>
      <c r="AN35" s="9"/>
      <c r="AO35" s="9"/>
      <c r="AP35" s="9"/>
      <c r="AQ35" s="9"/>
      <c r="AR35" s="9"/>
      <c r="AS35" s="9"/>
      <c r="AT35" s="9"/>
      <c r="AU35" s="9"/>
      <c r="AV35" s="9"/>
      <c r="AW35" s="9"/>
      <c r="AX35" s="9"/>
      <c r="AY35" s="9"/>
    </row>
    <row r="36" spans="1:51" ht="35.1" customHeight="1" x14ac:dyDescent="0.2">
      <c r="A36" s="99"/>
      <c r="B36" s="99"/>
      <c r="C36" s="99"/>
      <c r="D36" s="99"/>
      <c r="E36" s="288" t="str">
        <f>HYPERLINK("#"&amp;ADDRESS(2,4,1,1,"Measure Qualitative Data"),"Data")</f>
        <v>Data</v>
      </c>
      <c r="F36" s="288"/>
      <c r="G36" s="288"/>
      <c r="H36" s="288"/>
      <c r="I36" s="288" t="str">
        <f>HYPERLINK("#"&amp;ADDRESS(2,7,1,1,"Measure Qualitative Data"),"Data")</f>
        <v>Data</v>
      </c>
      <c r="J36" s="288"/>
      <c r="K36" s="288"/>
      <c r="L36" s="288"/>
      <c r="M36" s="117"/>
      <c r="N36" s="349"/>
      <c r="O36" s="349"/>
      <c r="P36" s="349"/>
      <c r="Q36" s="349"/>
      <c r="R36" s="349"/>
      <c r="S36" s="349"/>
      <c r="T36" s="140"/>
      <c r="U36" s="353"/>
      <c r="V36" s="353"/>
      <c r="W36" s="353"/>
      <c r="X36" s="353"/>
      <c r="Y36" s="353"/>
      <c r="Z36" s="353"/>
      <c r="AA36" s="99"/>
      <c r="AB36" s="373"/>
      <c r="AC36" s="373"/>
      <c r="AD36" s="373"/>
      <c r="AE36" s="373"/>
      <c r="AF36" s="373"/>
      <c r="AG36" s="373"/>
      <c r="AH36" s="373"/>
      <c r="AK36" s="195"/>
      <c r="AL36" s="195"/>
      <c r="AM36" s="195"/>
      <c r="AN36" s="9"/>
      <c r="AO36" s="9"/>
      <c r="AP36" s="9"/>
      <c r="AQ36" s="9"/>
      <c r="AR36" s="9"/>
      <c r="AS36" s="9"/>
      <c r="AT36" s="9"/>
      <c r="AU36" s="9"/>
      <c r="AV36" s="9"/>
      <c r="AW36" s="9"/>
      <c r="AX36" s="9"/>
      <c r="AY36" s="9"/>
    </row>
    <row r="37" spans="1:51" ht="55.5" customHeight="1" x14ac:dyDescent="0.2">
      <c r="A37" s="99"/>
      <c r="B37" s="99"/>
      <c r="C37" s="99"/>
      <c r="D37" s="99"/>
      <c r="E37" s="99"/>
      <c r="F37" s="99"/>
      <c r="G37" s="99"/>
      <c r="H37" s="99"/>
      <c r="I37" s="99"/>
      <c r="J37" s="99"/>
      <c r="K37" s="99"/>
      <c r="L37" s="99"/>
      <c r="M37" s="99"/>
      <c r="N37" s="140"/>
      <c r="O37" s="140"/>
      <c r="P37" s="140"/>
      <c r="Q37" s="140"/>
      <c r="R37" s="140"/>
      <c r="S37" s="140"/>
      <c r="T37" s="140"/>
      <c r="U37" s="140"/>
      <c r="V37" s="140"/>
      <c r="W37" s="140"/>
      <c r="X37" s="140"/>
      <c r="Y37" s="140"/>
      <c r="Z37" s="99"/>
      <c r="AA37" s="99"/>
      <c r="AB37" s="99"/>
      <c r="AC37" s="99"/>
      <c r="AK37" s="196"/>
      <c r="AL37" s="196"/>
      <c r="AM37" s="196"/>
      <c r="AN37" s="9"/>
      <c r="AO37" s="9"/>
      <c r="AP37" s="9"/>
      <c r="AQ37" s="9"/>
      <c r="AR37" s="9"/>
      <c r="AS37" s="9"/>
      <c r="AT37" s="9"/>
      <c r="AU37" s="9"/>
      <c r="AV37" s="9"/>
      <c r="AW37" s="9"/>
      <c r="AX37" s="9"/>
      <c r="AY37" s="9"/>
    </row>
    <row r="38" spans="1:51" ht="51.75" customHeight="1" x14ac:dyDescent="0.2">
      <c r="A38" s="99"/>
      <c r="B38" s="99"/>
      <c r="C38" s="99"/>
      <c r="D38" s="99"/>
      <c r="E38" s="99"/>
      <c r="F38" s="99"/>
      <c r="G38" s="99"/>
      <c r="H38" s="99"/>
      <c r="I38" s="99"/>
      <c r="J38" s="99"/>
      <c r="K38" s="99"/>
      <c r="L38" s="99"/>
      <c r="M38" s="99"/>
      <c r="N38" s="99"/>
      <c r="O38" s="140"/>
      <c r="P38" s="140"/>
      <c r="Q38" s="140"/>
      <c r="R38" s="140"/>
      <c r="S38" s="140"/>
      <c r="T38" s="140"/>
      <c r="U38" s="140"/>
      <c r="V38" s="140"/>
      <c r="W38" s="140"/>
      <c r="X38" s="140"/>
      <c r="Y38" s="140"/>
      <c r="Z38" s="140"/>
      <c r="AA38" s="99"/>
      <c r="AB38" s="99"/>
      <c r="AC38" s="99"/>
      <c r="AK38" s="196"/>
      <c r="AL38" s="196"/>
      <c r="AM38" s="196"/>
      <c r="AN38" s="9"/>
      <c r="AO38" s="9"/>
      <c r="AP38" s="9"/>
      <c r="AQ38" s="9"/>
      <c r="AR38" s="9"/>
      <c r="AS38" s="9"/>
      <c r="AT38" s="9"/>
      <c r="AU38" s="9"/>
      <c r="AV38" s="9"/>
      <c r="AW38" s="9"/>
      <c r="AX38" s="9"/>
      <c r="AY38" s="9"/>
    </row>
    <row r="39" spans="1:51" x14ac:dyDescent="0.2">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K39" s="195"/>
      <c r="AL39" s="195"/>
      <c r="AM39" s="195"/>
      <c r="AN39" s="9"/>
      <c r="AO39" s="9"/>
      <c r="AP39" s="9"/>
      <c r="AQ39" s="9"/>
      <c r="AR39" s="9"/>
      <c r="AS39" s="9"/>
      <c r="AT39" s="9"/>
      <c r="AU39" s="9"/>
      <c r="AV39" s="9"/>
      <c r="AW39" s="9"/>
      <c r="AX39" s="9"/>
      <c r="AY39" s="9"/>
    </row>
    <row r="40" spans="1:51" x14ac:dyDescent="0.2">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row>
    <row r="41" spans="1:51" x14ac:dyDescent="0.2">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row>
    <row r="42" spans="1:51" x14ac:dyDescent="0.2">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row>
    <row r="43" spans="1:51" x14ac:dyDescent="0.2">
      <c r="A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row>
    <row r="44" spans="1:51" x14ac:dyDescent="0.2">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row>
    <row r="45" spans="1:51" x14ac:dyDescent="0.2">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row>
    <row r="46" spans="1:51"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row>
    <row r="47" spans="1:51" x14ac:dyDescent="0.2">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row>
    <row r="48" spans="1:51" x14ac:dyDescent="0.2">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row>
    <row r="49" spans="1:32" x14ac:dyDescent="0.2">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row>
    <row r="50" spans="1:32" x14ac:dyDescent="0.2">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D50" s="99"/>
      <c r="AE50" s="99"/>
      <c r="AF50" s="99"/>
    </row>
    <row r="51" spans="1:32" x14ac:dyDescent="0.2">
      <c r="N51" s="99"/>
    </row>
  </sheetData>
  <sheetProtection algorithmName="SHA-512" hashValue="tJrDSnz+nAWrn0oi5jw0APWVgNr3RZysarmqJgSt09ou/ta18irrUDH5GwSZ3D7ZPzDSG/JkvG2C6PLxJ/ofkg==" saltValue="PKK+OI04oXnLlHjPuzSg4Q==" spinCount="100000" sheet="1" objects="1" scenarios="1"/>
  <mergeCells count="189">
    <mergeCell ref="AI33:AM33"/>
    <mergeCell ref="AB18:AD18"/>
    <mergeCell ref="AB19:AD19"/>
    <mergeCell ref="AB20:AD20"/>
    <mergeCell ref="AB12:AD12"/>
    <mergeCell ref="V20:X20"/>
    <mergeCell ref="V19:X19"/>
    <mergeCell ref="AB16:AD16"/>
    <mergeCell ref="AI4:AK4"/>
    <mergeCell ref="AI5:AK5"/>
    <mergeCell ref="AI6:AK8"/>
    <mergeCell ref="AB9:AD9"/>
    <mergeCell ref="AB10:AD10"/>
    <mergeCell ref="AB11:AD11"/>
    <mergeCell ref="AB13:AD13"/>
    <mergeCell ref="AB14:AD14"/>
    <mergeCell ref="AB15:AD15"/>
    <mergeCell ref="AE4:AG4"/>
    <mergeCell ref="AE11:AG11"/>
    <mergeCell ref="AE15:AG15"/>
    <mergeCell ref="AE14:AG14"/>
    <mergeCell ref="AE6:AG8"/>
    <mergeCell ref="AE5:AG5"/>
    <mergeCell ref="AI14:AK20"/>
    <mergeCell ref="M12:O12"/>
    <mergeCell ref="E36:H36"/>
    <mergeCell ref="I36:L36"/>
    <mergeCell ref="J22:L22"/>
    <mergeCell ref="N35:S36"/>
    <mergeCell ref="N34:S34"/>
    <mergeCell ref="U34:Z34"/>
    <mergeCell ref="U35:Z36"/>
    <mergeCell ref="I31:L33"/>
    <mergeCell ref="I27:L29"/>
    <mergeCell ref="E25:H25"/>
    <mergeCell ref="I25:L25"/>
    <mergeCell ref="N23:Y23"/>
    <mergeCell ref="N30:AB30"/>
    <mergeCell ref="N31:AB31"/>
    <mergeCell ref="I35:L35"/>
    <mergeCell ref="AB35:AH36"/>
    <mergeCell ref="AB34:AG34"/>
    <mergeCell ref="Y22:AA22"/>
    <mergeCell ref="I24:L24"/>
    <mergeCell ref="P20:R20"/>
    <mergeCell ref="P21:R21"/>
    <mergeCell ref="M21:O21"/>
    <mergeCell ref="J21:L21"/>
    <mergeCell ref="B35:D35"/>
    <mergeCell ref="E29:H29"/>
    <mergeCell ref="E35:H35"/>
    <mergeCell ref="E33:H33"/>
    <mergeCell ref="AE9:AG9"/>
    <mergeCell ref="M9:O9"/>
    <mergeCell ref="P9:R9"/>
    <mergeCell ref="AE13:AG13"/>
    <mergeCell ref="M13:O13"/>
    <mergeCell ref="P13:R13"/>
    <mergeCell ref="AE10:AG10"/>
    <mergeCell ref="M10:O10"/>
    <mergeCell ref="P10:R10"/>
    <mergeCell ref="AE19:AG19"/>
    <mergeCell ref="M19:O19"/>
    <mergeCell ref="P19:R19"/>
    <mergeCell ref="AE12:AG12"/>
    <mergeCell ref="J9:L10"/>
    <mergeCell ref="P18:R18"/>
    <mergeCell ref="S18:U18"/>
    <mergeCell ref="S19:U19"/>
    <mergeCell ref="AB17:AD17"/>
    <mergeCell ref="B34:D34"/>
    <mergeCell ref="AE21:AG21"/>
    <mergeCell ref="M5:O5"/>
    <mergeCell ref="P5:R5"/>
    <mergeCell ref="S4:U4"/>
    <mergeCell ref="S5:U5"/>
    <mergeCell ref="V4:X4"/>
    <mergeCell ref="V5:X5"/>
    <mergeCell ref="AB4:AD4"/>
    <mergeCell ref="AB5:AD5"/>
    <mergeCell ref="Y4:AA4"/>
    <mergeCell ref="Y5:AA5"/>
    <mergeCell ref="E34:H34"/>
    <mergeCell ref="E30:H30"/>
    <mergeCell ref="I34:L34"/>
    <mergeCell ref="I30:L30"/>
    <mergeCell ref="I26:L26"/>
    <mergeCell ref="E26:H26"/>
    <mergeCell ref="B26:D26"/>
    <mergeCell ref="B30:D30"/>
    <mergeCell ref="B33:D33"/>
    <mergeCell ref="B27:D28"/>
    <mergeCell ref="E27:H28"/>
    <mergeCell ref="C22:I22"/>
    <mergeCell ref="M22:O22"/>
    <mergeCell ref="AD33:AH33"/>
    <mergeCell ref="B25:D25"/>
    <mergeCell ref="V15:X15"/>
    <mergeCell ref="E24:H24"/>
    <mergeCell ref="B24:D24"/>
    <mergeCell ref="V14:X14"/>
    <mergeCell ref="AI21:AK21"/>
    <mergeCell ref="M18:O18"/>
    <mergeCell ref="S22:U22"/>
    <mergeCell ref="C19:I19"/>
    <mergeCell ref="C20:I20"/>
    <mergeCell ref="S20:U20"/>
    <mergeCell ref="S21:U21"/>
    <mergeCell ref="V18:X18"/>
    <mergeCell ref="AE16:AG16"/>
    <mergeCell ref="AE20:AG20"/>
    <mergeCell ref="M20:O20"/>
    <mergeCell ref="AE18:AG18"/>
    <mergeCell ref="J19:L20"/>
    <mergeCell ref="AE17:AG17"/>
    <mergeCell ref="AB21:AD21"/>
    <mergeCell ref="V21:X21"/>
    <mergeCell ref="M6:O8"/>
    <mergeCell ref="P6:R8"/>
    <mergeCell ref="M15:O15"/>
    <mergeCell ref="P15:R15"/>
    <mergeCell ref="B31:D32"/>
    <mergeCell ref="E31:H32"/>
    <mergeCell ref="AD24:AK30"/>
    <mergeCell ref="Y21:AA21"/>
    <mergeCell ref="N33:AB33"/>
    <mergeCell ref="B29:D29"/>
    <mergeCell ref="S9:U9"/>
    <mergeCell ref="S10:U10"/>
    <mergeCell ref="S12:U12"/>
    <mergeCell ref="S11:U11"/>
    <mergeCell ref="S13:U13"/>
    <mergeCell ref="V17:X17"/>
    <mergeCell ref="V16:X16"/>
    <mergeCell ref="C15:I15"/>
    <mergeCell ref="C16:I16"/>
    <mergeCell ref="C17:I17"/>
    <mergeCell ref="C18:I18"/>
    <mergeCell ref="S15:U15"/>
    <mergeCell ref="S16:U16"/>
    <mergeCell ref="S17:U17"/>
    <mergeCell ref="B4:I8"/>
    <mergeCell ref="C9:I9"/>
    <mergeCell ref="C10:I10"/>
    <mergeCell ref="C12:I12"/>
    <mergeCell ref="C11:I11"/>
    <mergeCell ref="C13:I13"/>
    <mergeCell ref="M11:O11"/>
    <mergeCell ref="P11:R11"/>
    <mergeCell ref="M14:O14"/>
    <mergeCell ref="P14:R14"/>
    <mergeCell ref="C14:I14"/>
    <mergeCell ref="J4:L4"/>
    <mergeCell ref="J7:L8"/>
    <mergeCell ref="J5:L6"/>
    <mergeCell ref="P12:R12"/>
    <mergeCell ref="M4:O4"/>
    <mergeCell ref="P4:R4"/>
    <mergeCell ref="J12:L12"/>
    <mergeCell ref="J11:L11"/>
    <mergeCell ref="J13:L18"/>
    <mergeCell ref="M16:O16"/>
    <mergeCell ref="P16:R16"/>
    <mergeCell ref="M17:O17"/>
    <mergeCell ref="P17:R17"/>
    <mergeCell ref="S8:U8"/>
    <mergeCell ref="V8:X8"/>
    <mergeCell ref="Y8:AA8"/>
    <mergeCell ref="AB8:AD8"/>
    <mergeCell ref="S6:X7"/>
    <mergeCell ref="Y6:AD7"/>
    <mergeCell ref="Y18:AA18"/>
    <mergeCell ref="Y19:AA19"/>
    <mergeCell ref="Y20:AA20"/>
    <mergeCell ref="V10:X10"/>
    <mergeCell ref="V9:X9"/>
    <mergeCell ref="V13:X13"/>
    <mergeCell ref="V11:X11"/>
    <mergeCell ref="Y9:AA9"/>
    <mergeCell ref="Y10:AA10"/>
    <mergeCell ref="Y12:AA12"/>
    <mergeCell ref="Y11:AA11"/>
    <mergeCell ref="Y13:AA13"/>
    <mergeCell ref="Y14:AA14"/>
    <mergeCell ref="Y15:AA15"/>
    <mergeCell ref="Y16:AA16"/>
    <mergeCell ref="Y17:AA17"/>
    <mergeCell ref="V12:X12"/>
    <mergeCell ref="S14:U14"/>
  </mergeCells>
  <conditionalFormatting sqref="B35:D35 I35 I31:I32 I27:I28 J9 B31:D31 B26:D27 B29:D29 B33:D33">
    <cfRule type="dataBar" priority="92">
      <dataBar>
        <cfvo type="num" val="-0.35"/>
        <cfvo type="num" val="1"/>
        <color rgb="FF008AEF"/>
      </dataBar>
      <extLst>
        <ext xmlns:x14="http://schemas.microsoft.com/office/spreadsheetml/2009/9/main" uri="{B025F937-C7B1-47D3-B67F-A62EFF666E3E}">
          <x14:id>{9E1BBC85-DBD8-477A-8540-0F1016A035CF}</x14:id>
        </ext>
      </extLst>
    </cfRule>
  </conditionalFormatting>
  <conditionalFormatting sqref="I30:I32 B35:D35 I35 I27:I28 J9 B26:D27 B29:D31 B33:D33">
    <cfRule type="dataBar" priority="80">
      <dataBar>
        <cfvo type="num" val="-0.33"/>
        <cfvo type="num" val="1"/>
        <color rgb="FF008AEF"/>
      </dataBar>
      <extLst>
        <ext xmlns:x14="http://schemas.microsoft.com/office/spreadsheetml/2009/9/main" uri="{B025F937-C7B1-47D3-B67F-A62EFF666E3E}">
          <x14:id>{0A9E5FDD-EFA9-4AF7-84A9-8E6EAA2567A3}</x14:id>
        </ext>
      </extLst>
    </cfRule>
  </conditionalFormatting>
  <conditionalFormatting sqref="P20:R20 P9:R18">
    <cfRule type="dataBar" priority="73">
      <dataBar>
        <cfvo type="num" val="-600"/>
        <cfvo type="num" val="1700"/>
        <color rgb="FF008AEF"/>
      </dataBar>
      <extLst>
        <ext xmlns:x14="http://schemas.microsoft.com/office/spreadsheetml/2009/9/main" uri="{B025F937-C7B1-47D3-B67F-A62EFF666E3E}">
          <x14:id>{81B3BB9C-67F7-425C-B10F-78745A47A2B1}</x14:id>
        </ext>
      </extLst>
    </cfRule>
  </conditionalFormatting>
  <conditionalFormatting sqref="J19">
    <cfRule type="dataBar" priority="68">
      <dataBar>
        <cfvo type="num" val="-0.33"/>
        <cfvo type="num" val="1"/>
        <color rgb="FF008AEF"/>
      </dataBar>
      <extLst>
        <ext xmlns:x14="http://schemas.microsoft.com/office/spreadsheetml/2009/9/main" uri="{B025F937-C7B1-47D3-B67F-A62EFF666E3E}">
          <x14:id>{2EA2A7F7-9DE1-4625-86A0-FF6F52381FC7}</x14:id>
        </ext>
      </extLst>
    </cfRule>
  </conditionalFormatting>
  <conditionalFormatting sqref="P9:R20">
    <cfRule type="dataBar" priority="67">
      <dataBar>
        <cfvo type="num" val="-1000"/>
        <cfvo type="num" val="1700"/>
        <color rgb="FF008AEF"/>
      </dataBar>
      <extLst>
        <ext xmlns:x14="http://schemas.microsoft.com/office/spreadsheetml/2009/9/main" uri="{B025F937-C7B1-47D3-B67F-A62EFF666E3E}">
          <x14:id>{EC3A4976-7922-4DAB-B719-008C84E06D37}</x14:id>
        </ext>
      </extLst>
    </cfRule>
  </conditionalFormatting>
  <conditionalFormatting sqref="AE16:AG18">
    <cfRule type="dataBar" priority="65">
      <dataBar>
        <cfvo type="num" val="-200"/>
        <cfvo type="num" val="500"/>
        <color rgb="FF008AEF"/>
      </dataBar>
      <extLst>
        <ext xmlns:x14="http://schemas.microsoft.com/office/spreadsheetml/2009/9/main" uri="{B025F937-C7B1-47D3-B67F-A62EFF666E3E}">
          <x14:id>{F763ECEF-CC6B-4550-9BF4-EF27F7EB8F4F}</x14:id>
        </ext>
      </extLst>
    </cfRule>
  </conditionalFormatting>
  <conditionalFormatting sqref="J12">
    <cfRule type="dataBar" priority="60">
      <dataBar>
        <cfvo type="num" val="-0.35"/>
        <cfvo type="num" val="1"/>
        <color rgb="FF008AEF"/>
      </dataBar>
      <extLst>
        <ext xmlns:x14="http://schemas.microsoft.com/office/spreadsheetml/2009/9/main" uri="{B025F937-C7B1-47D3-B67F-A62EFF666E3E}">
          <x14:id>{8D18E604-37EF-4C45-BEE8-E7FB323F795B}</x14:id>
        </ext>
      </extLst>
    </cfRule>
  </conditionalFormatting>
  <conditionalFormatting sqref="J12">
    <cfRule type="dataBar" priority="59">
      <dataBar>
        <cfvo type="num" val="-0.33"/>
        <cfvo type="num" val="1"/>
        <color rgb="FF008AEF"/>
      </dataBar>
      <extLst>
        <ext xmlns:x14="http://schemas.microsoft.com/office/spreadsheetml/2009/9/main" uri="{B025F937-C7B1-47D3-B67F-A62EFF666E3E}">
          <x14:id>{58250245-9FFA-4D5F-BFBB-C387B43F628E}</x14:id>
        </ext>
      </extLst>
    </cfRule>
  </conditionalFormatting>
  <conditionalFormatting sqref="J13">
    <cfRule type="dataBar" priority="58">
      <dataBar>
        <cfvo type="num" val="-0.33"/>
        <cfvo type="num" val="1"/>
        <color rgb="FF008AEF"/>
      </dataBar>
      <extLst>
        <ext xmlns:x14="http://schemas.microsoft.com/office/spreadsheetml/2009/9/main" uri="{B025F937-C7B1-47D3-B67F-A62EFF666E3E}">
          <x14:id>{E2CDD0EB-DDB4-4378-8170-D31617F5D0CA}</x14:id>
        </ext>
      </extLst>
    </cfRule>
  </conditionalFormatting>
  <conditionalFormatting sqref="S9:U20">
    <cfRule type="dataBar" priority="33">
      <dataBar>
        <cfvo type="num" val="-300"/>
        <cfvo type="num" val="1000"/>
        <color rgb="FF008AEF"/>
      </dataBar>
      <extLst>
        <ext xmlns:x14="http://schemas.microsoft.com/office/spreadsheetml/2009/9/main" uri="{B025F937-C7B1-47D3-B67F-A62EFF666E3E}">
          <x14:id>{5007DF04-BC1D-4EE4-A80C-CE8DEB0B67D9}</x14:id>
        </ext>
      </extLst>
    </cfRule>
  </conditionalFormatting>
  <conditionalFormatting sqref="J11">
    <cfRule type="dataBar" priority="26">
      <dataBar>
        <cfvo type="num" val="-0.35"/>
        <cfvo type="num" val="1"/>
        <color rgb="FF008AEF"/>
      </dataBar>
      <extLst>
        <ext xmlns:x14="http://schemas.microsoft.com/office/spreadsheetml/2009/9/main" uri="{B025F937-C7B1-47D3-B67F-A62EFF666E3E}">
          <x14:id>{129C1B01-F68B-4B6B-A66B-E5C4759F21B8}</x14:id>
        </ext>
      </extLst>
    </cfRule>
  </conditionalFormatting>
  <conditionalFormatting sqref="J11">
    <cfRule type="dataBar" priority="25">
      <dataBar>
        <cfvo type="num" val="-0.33"/>
        <cfvo type="num" val="1"/>
        <color rgb="FF008AEF"/>
      </dataBar>
      <extLst>
        <ext xmlns:x14="http://schemas.microsoft.com/office/spreadsheetml/2009/9/main" uri="{B025F937-C7B1-47D3-B67F-A62EFF666E3E}">
          <x14:id>{1EEE618F-B814-4968-9F73-B396BAB345B3}</x14:id>
        </ext>
      </extLst>
    </cfRule>
  </conditionalFormatting>
  <conditionalFormatting sqref="AL22:AN22">
    <cfRule type="dataBar" priority="19">
      <dataBar>
        <cfvo type="num" val="-100"/>
        <cfvo type="num" val="200"/>
        <color rgb="FF008AEF"/>
      </dataBar>
      <extLst>
        <ext xmlns:x14="http://schemas.microsoft.com/office/spreadsheetml/2009/9/main" uri="{B025F937-C7B1-47D3-B67F-A62EFF666E3E}">
          <x14:id>{8CC0F905-9400-4A1F-8E02-6EC82E8167B2}</x14:id>
        </ext>
      </extLst>
    </cfRule>
  </conditionalFormatting>
  <conditionalFormatting sqref="AJ11">
    <cfRule type="dataBar" priority="18">
      <dataBar>
        <cfvo type="num" val="-0.7"/>
        <cfvo type="num" val="1"/>
        <color rgb="FF008AEF"/>
      </dataBar>
      <extLst>
        <ext xmlns:x14="http://schemas.microsoft.com/office/spreadsheetml/2009/9/main" uri="{B025F937-C7B1-47D3-B67F-A62EFF666E3E}">
          <x14:id>{FF3B728B-DC3B-4DED-A778-3F10663DBB19}</x14:id>
        </ext>
      </extLst>
    </cfRule>
  </conditionalFormatting>
  <conditionalFormatting sqref="AJ13">
    <cfRule type="dataBar" priority="17">
      <dataBar>
        <cfvo type="num" val="-0.7"/>
        <cfvo type="num" val="1"/>
        <color rgb="FF008AEF"/>
      </dataBar>
      <extLst>
        <ext xmlns:x14="http://schemas.microsoft.com/office/spreadsheetml/2009/9/main" uri="{B025F937-C7B1-47D3-B67F-A62EFF666E3E}">
          <x14:id>{72FF0A5E-15B4-4162-9DC4-86BA1147294D}</x14:id>
        </ext>
      </extLst>
    </cfRule>
  </conditionalFormatting>
  <conditionalFormatting sqref="AK13">
    <cfRule type="dataBar" priority="14">
      <dataBar>
        <cfvo type="num" val="-0.7"/>
        <cfvo type="num" val="1"/>
        <color rgb="FF008AEF"/>
      </dataBar>
      <extLst>
        <ext xmlns:x14="http://schemas.microsoft.com/office/spreadsheetml/2009/9/main" uri="{B025F937-C7B1-47D3-B67F-A62EFF666E3E}">
          <x14:id>{C182A6C2-2DE4-4B59-B8EF-90CBF6A860B9}</x14:id>
        </ext>
      </extLst>
    </cfRule>
  </conditionalFormatting>
  <conditionalFormatting sqref="AJ10">
    <cfRule type="dataBar" priority="13">
      <dataBar>
        <cfvo type="num" val="-0.7"/>
        <cfvo type="num" val="1"/>
        <color rgb="FF008AEF"/>
      </dataBar>
      <extLst>
        <ext xmlns:x14="http://schemas.microsoft.com/office/spreadsheetml/2009/9/main" uri="{B025F937-C7B1-47D3-B67F-A62EFF666E3E}">
          <x14:id>{2BBF9A34-81DB-4C07-A09F-0050E372F2BD}</x14:id>
        </ext>
      </extLst>
    </cfRule>
  </conditionalFormatting>
  <conditionalFormatting sqref="AK10">
    <cfRule type="dataBar" priority="12">
      <dataBar>
        <cfvo type="num" val="-0.7"/>
        <cfvo type="num" val="1"/>
        <color rgb="FF008AEF"/>
      </dataBar>
      <extLst>
        <ext xmlns:x14="http://schemas.microsoft.com/office/spreadsheetml/2009/9/main" uri="{B025F937-C7B1-47D3-B67F-A62EFF666E3E}">
          <x14:id>{2B66EBD8-2062-41D3-A5AD-D23B638E2B74}</x14:id>
        </ext>
      </extLst>
    </cfRule>
  </conditionalFormatting>
  <conditionalFormatting sqref="AK12">
    <cfRule type="dataBar" priority="11">
      <dataBar>
        <cfvo type="num" val="-0.7"/>
        <cfvo type="num" val="1"/>
        <color rgb="FF008AEF"/>
      </dataBar>
      <extLst>
        <ext xmlns:x14="http://schemas.microsoft.com/office/spreadsheetml/2009/9/main" uri="{B025F937-C7B1-47D3-B67F-A62EFF666E3E}">
          <x14:id>{B0D4ED83-85B8-47D2-8187-D3ED87ECBE29}</x14:id>
        </ext>
      </extLst>
    </cfRule>
  </conditionalFormatting>
  <conditionalFormatting sqref="AK11">
    <cfRule type="dataBar" priority="9">
      <dataBar>
        <cfvo type="num" val="-0.7"/>
        <cfvo type="num" val="1"/>
        <color rgb="FF008AEF"/>
      </dataBar>
      <extLst>
        <ext xmlns:x14="http://schemas.microsoft.com/office/spreadsheetml/2009/9/main" uri="{B025F937-C7B1-47D3-B67F-A62EFF666E3E}">
          <x14:id>{202E3DFF-E9A9-496E-AFCF-2C61C3B01020}</x14:id>
        </ext>
      </extLst>
    </cfRule>
  </conditionalFormatting>
  <conditionalFormatting sqref="V9:X20">
    <cfRule type="dataBar" priority="8">
      <dataBar>
        <cfvo type="num" val="-10"/>
        <cfvo type="num" val="50"/>
        <color rgb="FF008AEF"/>
      </dataBar>
      <extLst>
        <ext xmlns:x14="http://schemas.microsoft.com/office/spreadsheetml/2009/9/main" uri="{B025F937-C7B1-47D3-B67F-A62EFF666E3E}">
          <x14:id>{56678E10-399E-45A4-B0B4-627470BEBC7A}</x14:id>
        </ext>
      </extLst>
    </cfRule>
  </conditionalFormatting>
  <conditionalFormatting sqref="AB9:AD20">
    <cfRule type="dataBar" priority="7">
      <dataBar>
        <cfvo type="num" val="-0.3"/>
        <cfvo type="num" val="1"/>
        <color rgb="FF008AEF"/>
      </dataBar>
      <extLst>
        <ext xmlns:x14="http://schemas.microsoft.com/office/spreadsheetml/2009/9/main" uri="{B025F937-C7B1-47D3-B67F-A62EFF666E3E}">
          <x14:id>{B1BCC9AA-1A78-4FE4-A605-D947201280E3}</x14:id>
        </ext>
      </extLst>
    </cfRule>
  </conditionalFormatting>
  <conditionalFormatting sqref="M9:O20">
    <cfRule type="dataBar" priority="6">
      <dataBar>
        <cfvo type="num" val="-50"/>
        <cfvo type="num" val="200"/>
        <color rgb="FF008AEF"/>
      </dataBar>
      <extLst>
        <ext xmlns:x14="http://schemas.microsoft.com/office/spreadsheetml/2009/9/main" uri="{B025F937-C7B1-47D3-B67F-A62EFF666E3E}">
          <x14:id>{A58620B5-E20F-4DF0-A493-F914FDCBC393}</x14:id>
        </ext>
      </extLst>
    </cfRule>
  </conditionalFormatting>
  <conditionalFormatting sqref="Y9:AA18 Y20:AA20">
    <cfRule type="dataBar" priority="5">
      <dataBar>
        <cfvo type="num" val="-150"/>
        <cfvo type="num" val="500"/>
        <color rgb="FF008AEF"/>
      </dataBar>
      <extLst>
        <ext xmlns:x14="http://schemas.microsoft.com/office/spreadsheetml/2009/9/main" uri="{B025F937-C7B1-47D3-B67F-A62EFF666E3E}">
          <x14:id>{867A7F4A-D97C-42AB-B3EE-9BE0EC301413}</x14:id>
        </ext>
      </extLst>
    </cfRule>
  </conditionalFormatting>
  <conditionalFormatting sqref="Y19:AA19">
    <cfRule type="dataBar" priority="4">
      <dataBar>
        <cfvo type="num" val="-50"/>
        <cfvo type="num" val="200"/>
        <color rgb="FF008AEF"/>
      </dataBar>
      <extLst>
        <ext xmlns:x14="http://schemas.microsoft.com/office/spreadsheetml/2009/9/main" uri="{B025F937-C7B1-47D3-B67F-A62EFF666E3E}">
          <x14:id>{388060C4-F733-4628-9926-DE03E15CD40E}</x14:id>
        </ext>
      </extLst>
    </cfRule>
  </conditionalFormatting>
  <conditionalFormatting sqref="AE15:AG15">
    <cfRule type="dataBar" priority="3">
      <dataBar>
        <cfvo type="num" val="-200"/>
        <cfvo type="num" val="500"/>
        <color rgb="FF008AEF"/>
      </dataBar>
      <extLst>
        <ext xmlns:x14="http://schemas.microsoft.com/office/spreadsheetml/2009/9/main" uri="{B025F937-C7B1-47D3-B67F-A62EFF666E3E}">
          <x14:id>{7E32986A-8980-4207-9495-45E3EC7A98E2}</x14:id>
        </ext>
      </extLst>
    </cfRule>
  </conditionalFormatting>
  <conditionalFormatting sqref="AE14:AG14">
    <cfRule type="dataBar" priority="2">
      <dataBar>
        <cfvo type="num" val="-200"/>
        <cfvo type="num" val="500"/>
        <color rgb="FF008AEF"/>
      </dataBar>
      <extLst>
        <ext xmlns:x14="http://schemas.microsoft.com/office/spreadsheetml/2009/9/main" uri="{B025F937-C7B1-47D3-B67F-A62EFF666E3E}">
          <x14:id>{EB470672-C22A-456D-A2FE-5E21C459A6DA}</x14:id>
        </ext>
      </extLst>
    </cfRule>
  </conditionalFormatting>
  <conditionalFormatting sqref="AE13:AG13">
    <cfRule type="dataBar" priority="1">
      <dataBar>
        <cfvo type="num" val="-3"/>
        <cfvo type="num" val="10"/>
        <color rgb="FF008AEF"/>
      </dataBar>
      <extLst>
        <ext xmlns:x14="http://schemas.microsoft.com/office/spreadsheetml/2009/9/main" uri="{B025F937-C7B1-47D3-B67F-A62EFF666E3E}">
          <x14:id>{2AA3A929-FC2D-4635-8FBB-9FF96B49DD66}</x14:id>
        </ext>
      </extLst>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9</xdr:col>
                    <xdr:colOff>47625</xdr:colOff>
                    <xdr:row>4</xdr:row>
                    <xdr:rowOff>47625</xdr:rowOff>
                  </from>
                  <to>
                    <xdr:col>11</xdr:col>
                    <xdr:colOff>66675</xdr:colOff>
                    <xdr:row>5</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9E1BBC85-DBD8-477A-8540-0F1016A035CF}">
            <x14:dataBar minLength="0" maxLength="100" gradient="0">
              <x14:cfvo type="num">
                <xm:f>-0.35</xm:f>
              </x14:cfvo>
              <x14:cfvo type="num">
                <xm:f>1</xm:f>
              </x14:cfvo>
              <x14:negativeFillColor rgb="FFFF0000"/>
              <x14:axisColor theme="0" tint="-0.14999847407452621"/>
            </x14:dataBar>
          </x14:cfRule>
          <xm:sqref>B35:D35 I35 I31:I32 I27:I28 J9 B31:D31 B26:D27 B29:D29 B33:D33</xm:sqref>
        </x14:conditionalFormatting>
        <x14:conditionalFormatting xmlns:xm="http://schemas.microsoft.com/office/excel/2006/main">
          <x14:cfRule type="dataBar" id="{0A9E5FDD-EFA9-4AF7-84A9-8E6EAA2567A3}">
            <x14:dataBar minLength="0" maxLength="100" gradient="0">
              <x14:cfvo type="num">
                <xm:f>-0.33</xm:f>
              </x14:cfvo>
              <x14:cfvo type="num">
                <xm:f>1</xm:f>
              </x14:cfvo>
              <x14:negativeFillColor rgb="FFFF0000"/>
              <x14:axisColor theme="0" tint="-0.14999847407452621"/>
            </x14:dataBar>
          </x14:cfRule>
          <xm:sqref>I30:I32 B35:D35 I35 I27:I28 J9 B26:D27 B29:D31 B33:D33</xm:sqref>
        </x14:conditionalFormatting>
        <x14:conditionalFormatting xmlns:xm="http://schemas.microsoft.com/office/excel/2006/main">
          <x14:cfRule type="dataBar" id="{81B3BB9C-67F7-425C-B10F-78745A47A2B1}">
            <x14:dataBar minLength="0" maxLength="100" gradient="0">
              <x14:cfvo type="num">
                <xm:f>-600</xm:f>
              </x14:cfvo>
              <x14:cfvo type="num">
                <xm:f>1700</xm:f>
              </x14:cfvo>
              <x14:negativeFillColor rgb="FFFF0000"/>
              <x14:axisColor theme="0" tint="-0.14999847407452621"/>
            </x14:dataBar>
          </x14:cfRule>
          <xm:sqref>P20:R20 P9:R18</xm:sqref>
        </x14:conditionalFormatting>
        <x14:conditionalFormatting xmlns:xm="http://schemas.microsoft.com/office/excel/2006/main">
          <x14:cfRule type="dataBar" id="{2EA2A7F7-9DE1-4625-86A0-FF6F52381FC7}">
            <x14:dataBar minLength="0" maxLength="100" gradient="0">
              <x14:cfvo type="num">
                <xm:f>-0.33</xm:f>
              </x14:cfvo>
              <x14:cfvo type="num">
                <xm:f>1</xm:f>
              </x14:cfvo>
              <x14:negativeFillColor rgb="FFFF0000"/>
              <x14:axisColor theme="0" tint="-0.14999847407452621"/>
            </x14:dataBar>
          </x14:cfRule>
          <xm:sqref>J19</xm:sqref>
        </x14:conditionalFormatting>
        <x14:conditionalFormatting xmlns:xm="http://schemas.microsoft.com/office/excel/2006/main">
          <x14:cfRule type="dataBar" id="{EC3A4976-7922-4DAB-B719-008C84E06D37}">
            <x14:dataBar minLength="0" maxLength="100" gradient="0">
              <x14:cfvo type="num">
                <xm:f>-1000</xm:f>
              </x14:cfvo>
              <x14:cfvo type="num">
                <xm:f>1700</xm:f>
              </x14:cfvo>
              <x14:negativeFillColor rgb="FFFF0000"/>
              <x14:axisColor theme="0" tint="-0.14999847407452621"/>
            </x14:dataBar>
          </x14:cfRule>
          <xm:sqref>P9:R20</xm:sqref>
        </x14:conditionalFormatting>
        <x14:conditionalFormatting xmlns:xm="http://schemas.microsoft.com/office/excel/2006/main">
          <x14:cfRule type="dataBar" id="{F763ECEF-CC6B-4550-9BF4-EF27F7EB8F4F}">
            <x14:dataBar minLength="0" maxLength="100" gradient="0">
              <x14:cfvo type="num">
                <xm:f>-200</xm:f>
              </x14:cfvo>
              <x14:cfvo type="num">
                <xm:f>500</xm:f>
              </x14:cfvo>
              <x14:negativeFillColor rgb="FFFF0000"/>
              <x14:axisColor theme="0" tint="-0.14999847407452621"/>
            </x14:dataBar>
          </x14:cfRule>
          <xm:sqref>AE16:AG18</xm:sqref>
        </x14:conditionalFormatting>
        <x14:conditionalFormatting xmlns:xm="http://schemas.microsoft.com/office/excel/2006/main">
          <x14:cfRule type="dataBar" id="{8D18E604-37EF-4C45-BEE8-E7FB323F795B}">
            <x14:dataBar minLength="0" maxLength="100" gradient="0">
              <x14:cfvo type="num">
                <xm:f>-0.35</xm:f>
              </x14:cfvo>
              <x14:cfvo type="num">
                <xm:f>1</xm:f>
              </x14:cfvo>
              <x14:negativeFillColor rgb="FFFF0000"/>
              <x14:axisColor theme="0" tint="-0.14999847407452621"/>
            </x14:dataBar>
          </x14:cfRule>
          <xm:sqref>J12</xm:sqref>
        </x14:conditionalFormatting>
        <x14:conditionalFormatting xmlns:xm="http://schemas.microsoft.com/office/excel/2006/main">
          <x14:cfRule type="dataBar" id="{58250245-9FFA-4D5F-BFBB-C387B43F628E}">
            <x14:dataBar minLength="0" maxLength="100" gradient="0">
              <x14:cfvo type="num">
                <xm:f>-0.33</xm:f>
              </x14:cfvo>
              <x14:cfvo type="num">
                <xm:f>1</xm:f>
              </x14:cfvo>
              <x14:negativeFillColor rgb="FFFF0000"/>
              <x14:axisColor theme="0" tint="-0.14999847407452621"/>
            </x14:dataBar>
          </x14:cfRule>
          <xm:sqref>J12</xm:sqref>
        </x14:conditionalFormatting>
        <x14:conditionalFormatting xmlns:xm="http://schemas.microsoft.com/office/excel/2006/main">
          <x14:cfRule type="dataBar" id="{E2CDD0EB-DDB4-4378-8170-D31617F5D0CA}">
            <x14:dataBar minLength="0" maxLength="100" gradient="0">
              <x14:cfvo type="num">
                <xm:f>-0.33</xm:f>
              </x14:cfvo>
              <x14:cfvo type="num">
                <xm:f>1</xm:f>
              </x14:cfvo>
              <x14:negativeFillColor rgb="FFFF0000"/>
              <x14:axisColor theme="0" tint="-0.14999847407452621"/>
            </x14:dataBar>
          </x14:cfRule>
          <xm:sqref>J13</xm:sqref>
        </x14:conditionalFormatting>
        <x14:conditionalFormatting xmlns:xm="http://schemas.microsoft.com/office/excel/2006/main">
          <x14:cfRule type="dataBar" id="{5007DF04-BC1D-4EE4-A80C-CE8DEB0B67D9}">
            <x14:dataBar minLength="0" maxLength="100" gradient="0">
              <x14:cfvo type="num">
                <xm:f>-300</xm:f>
              </x14:cfvo>
              <x14:cfvo type="num">
                <xm:f>1000</xm:f>
              </x14:cfvo>
              <x14:negativeFillColor rgb="FFFF0000"/>
              <x14:axisColor theme="0" tint="-0.14999847407452621"/>
            </x14:dataBar>
          </x14:cfRule>
          <xm:sqref>S9:U20</xm:sqref>
        </x14:conditionalFormatting>
        <x14:conditionalFormatting xmlns:xm="http://schemas.microsoft.com/office/excel/2006/main">
          <x14:cfRule type="dataBar" id="{129C1B01-F68B-4B6B-A66B-E5C4759F21B8}">
            <x14:dataBar minLength="0" maxLength="100" gradient="0">
              <x14:cfvo type="num">
                <xm:f>-0.35</xm:f>
              </x14:cfvo>
              <x14:cfvo type="num">
                <xm:f>1</xm:f>
              </x14:cfvo>
              <x14:negativeFillColor rgb="FFFF0000"/>
              <x14:axisColor theme="0" tint="-0.14999847407452621"/>
            </x14:dataBar>
          </x14:cfRule>
          <xm:sqref>J11</xm:sqref>
        </x14:conditionalFormatting>
        <x14:conditionalFormatting xmlns:xm="http://schemas.microsoft.com/office/excel/2006/main">
          <x14:cfRule type="dataBar" id="{1EEE618F-B814-4968-9F73-B396BAB345B3}">
            <x14:dataBar minLength="0" maxLength="100" gradient="0">
              <x14:cfvo type="num">
                <xm:f>-0.33</xm:f>
              </x14:cfvo>
              <x14:cfvo type="num">
                <xm:f>1</xm:f>
              </x14:cfvo>
              <x14:negativeFillColor rgb="FFFF0000"/>
              <x14:axisColor theme="0" tint="-0.14999847407452621"/>
            </x14:dataBar>
          </x14:cfRule>
          <xm:sqref>J11</xm:sqref>
        </x14:conditionalFormatting>
        <x14:conditionalFormatting xmlns:xm="http://schemas.microsoft.com/office/excel/2006/main">
          <x14:cfRule type="dataBar" id="{8CC0F905-9400-4A1F-8E02-6EC82E8167B2}">
            <x14:dataBar minLength="0" maxLength="100" gradient="0">
              <x14:cfvo type="num">
                <xm:f>-100</xm:f>
              </x14:cfvo>
              <x14:cfvo type="num">
                <xm:f>200</xm:f>
              </x14:cfvo>
              <x14:negativeFillColor rgb="FFFF0000"/>
              <x14:axisColor theme="0" tint="-0.14999847407452621"/>
            </x14:dataBar>
          </x14:cfRule>
          <xm:sqref>AL22:AN22</xm:sqref>
        </x14:conditionalFormatting>
        <x14:conditionalFormatting xmlns:xm="http://schemas.microsoft.com/office/excel/2006/main">
          <x14:cfRule type="dataBar" id="{FF3B728B-DC3B-4DED-A778-3F10663DBB19}">
            <x14:dataBar minLength="0" maxLength="100" gradient="0">
              <x14:cfvo type="num">
                <xm:f>-0.7</xm:f>
              </x14:cfvo>
              <x14:cfvo type="num">
                <xm:f>1</xm:f>
              </x14:cfvo>
              <x14:negativeFillColor rgb="FFFF0000"/>
              <x14:axisColor theme="0" tint="-0.14999847407452621"/>
            </x14:dataBar>
          </x14:cfRule>
          <xm:sqref>AJ11</xm:sqref>
        </x14:conditionalFormatting>
        <x14:conditionalFormatting xmlns:xm="http://schemas.microsoft.com/office/excel/2006/main">
          <x14:cfRule type="dataBar" id="{72FF0A5E-15B4-4162-9DC4-86BA1147294D}">
            <x14:dataBar minLength="0" maxLength="100" gradient="0">
              <x14:cfvo type="num">
                <xm:f>-0.7</xm:f>
              </x14:cfvo>
              <x14:cfvo type="num">
                <xm:f>1</xm:f>
              </x14:cfvo>
              <x14:negativeFillColor rgb="FFFF0000"/>
              <x14:axisColor theme="0" tint="-0.14999847407452621"/>
            </x14:dataBar>
          </x14:cfRule>
          <xm:sqref>AJ13</xm:sqref>
        </x14:conditionalFormatting>
        <x14:conditionalFormatting xmlns:xm="http://schemas.microsoft.com/office/excel/2006/main">
          <x14:cfRule type="dataBar" id="{C182A6C2-2DE4-4B59-B8EF-90CBF6A860B9}">
            <x14:dataBar minLength="0" maxLength="100" gradient="0">
              <x14:cfvo type="num">
                <xm:f>-0.7</xm:f>
              </x14:cfvo>
              <x14:cfvo type="num">
                <xm:f>1</xm:f>
              </x14:cfvo>
              <x14:negativeFillColor rgb="FFFF0000"/>
              <x14:axisColor theme="0" tint="-0.14999847407452621"/>
            </x14:dataBar>
          </x14:cfRule>
          <xm:sqref>AK13</xm:sqref>
        </x14:conditionalFormatting>
        <x14:conditionalFormatting xmlns:xm="http://schemas.microsoft.com/office/excel/2006/main">
          <x14:cfRule type="dataBar" id="{2BBF9A34-81DB-4C07-A09F-0050E372F2BD}">
            <x14:dataBar minLength="0" maxLength="100" gradient="0">
              <x14:cfvo type="num">
                <xm:f>-0.7</xm:f>
              </x14:cfvo>
              <x14:cfvo type="num">
                <xm:f>1</xm:f>
              </x14:cfvo>
              <x14:negativeFillColor rgb="FFFF0000"/>
              <x14:axisColor theme="0" tint="-0.14999847407452621"/>
            </x14:dataBar>
          </x14:cfRule>
          <xm:sqref>AJ10</xm:sqref>
        </x14:conditionalFormatting>
        <x14:conditionalFormatting xmlns:xm="http://schemas.microsoft.com/office/excel/2006/main">
          <x14:cfRule type="dataBar" id="{2B66EBD8-2062-41D3-A5AD-D23B638E2B74}">
            <x14:dataBar minLength="0" maxLength="100" gradient="0">
              <x14:cfvo type="num">
                <xm:f>-0.7</xm:f>
              </x14:cfvo>
              <x14:cfvo type="num">
                <xm:f>1</xm:f>
              </x14:cfvo>
              <x14:negativeFillColor rgb="FFFF0000"/>
              <x14:axisColor theme="0" tint="-0.14999847407452621"/>
            </x14:dataBar>
          </x14:cfRule>
          <xm:sqref>AK10</xm:sqref>
        </x14:conditionalFormatting>
        <x14:conditionalFormatting xmlns:xm="http://schemas.microsoft.com/office/excel/2006/main">
          <x14:cfRule type="dataBar" id="{B0D4ED83-85B8-47D2-8187-D3ED87ECBE29}">
            <x14:dataBar minLength="0" maxLength="100" gradient="0">
              <x14:cfvo type="num">
                <xm:f>-0.7</xm:f>
              </x14:cfvo>
              <x14:cfvo type="num">
                <xm:f>1</xm:f>
              </x14:cfvo>
              <x14:negativeFillColor rgb="FFFF0000"/>
              <x14:axisColor theme="0" tint="-0.14999847407452621"/>
            </x14:dataBar>
          </x14:cfRule>
          <xm:sqref>AK12</xm:sqref>
        </x14:conditionalFormatting>
        <x14:conditionalFormatting xmlns:xm="http://schemas.microsoft.com/office/excel/2006/main">
          <x14:cfRule type="dataBar" id="{202E3DFF-E9A9-496E-AFCF-2C61C3B01020}">
            <x14:dataBar minLength="0" maxLength="100" gradient="0">
              <x14:cfvo type="num">
                <xm:f>-0.7</xm:f>
              </x14:cfvo>
              <x14:cfvo type="num">
                <xm:f>1</xm:f>
              </x14:cfvo>
              <x14:negativeFillColor rgb="FFFF0000"/>
              <x14:axisColor theme="0" tint="-0.14999847407452621"/>
            </x14:dataBar>
          </x14:cfRule>
          <xm:sqref>AK11</xm:sqref>
        </x14:conditionalFormatting>
        <x14:conditionalFormatting xmlns:xm="http://schemas.microsoft.com/office/excel/2006/main">
          <x14:cfRule type="dataBar" id="{56678E10-399E-45A4-B0B4-627470BEBC7A}">
            <x14:dataBar minLength="0" maxLength="100" gradient="0">
              <x14:cfvo type="num">
                <xm:f>-10</xm:f>
              </x14:cfvo>
              <x14:cfvo type="num">
                <xm:f>50</xm:f>
              </x14:cfvo>
              <x14:negativeFillColor rgb="FFFF0000"/>
              <x14:axisColor theme="0" tint="-0.14999847407452621"/>
            </x14:dataBar>
          </x14:cfRule>
          <xm:sqref>V9:X20</xm:sqref>
        </x14:conditionalFormatting>
        <x14:conditionalFormatting xmlns:xm="http://schemas.microsoft.com/office/excel/2006/main">
          <x14:cfRule type="dataBar" id="{B1BCC9AA-1A78-4FE4-A605-D947201280E3}">
            <x14:dataBar minLength="0" maxLength="100" gradient="0">
              <x14:cfvo type="num">
                <xm:f>-0.3</xm:f>
              </x14:cfvo>
              <x14:cfvo type="num">
                <xm:f>1</xm:f>
              </x14:cfvo>
              <x14:negativeFillColor rgb="FFFF0000"/>
              <x14:axisColor theme="0" tint="-0.14999847407452621"/>
            </x14:dataBar>
          </x14:cfRule>
          <xm:sqref>AB9:AD20</xm:sqref>
        </x14:conditionalFormatting>
        <x14:conditionalFormatting xmlns:xm="http://schemas.microsoft.com/office/excel/2006/main">
          <x14:cfRule type="dataBar" id="{A58620B5-E20F-4DF0-A493-F914FDCBC393}">
            <x14:dataBar minLength="0" maxLength="100" gradient="0">
              <x14:cfvo type="num">
                <xm:f>-50</xm:f>
              </x14:cfvo>
              <x14:cfvo type="num">
                <xm:f>200</xm:f>
              </x14:cfvo>
              <x14:negativeFillColor rgb="FFFF0000"/>
              <x14:axisColor theme="0" tint="-0.14999847407452621"/>
            </x14:dataBar>
          </x14:cfRule>
          <xm:sqref>M9:O20</xm:sqref>
        </x14:conditionalFormatting>
        <x14:conditionalFormatting xmlns:xm="http://schemas.microsoft.com/office/excel/2006/main">
          <x14:cfRule type="dataBar" id="{867A7F4A-D97C-42AB-B3EE-9BE0EC301413}">
            <x14:dataBar minLength="0" maxLength="100" gradient="0">
              <x14:cfvo type="num">
                <xm:f>-150</xm:f>
              </x14:cfvo>
              <x14:cfvo type="num">
                <xm:f>500</xm:f>
              </x14:cfvo>
              <x14:negativeFillColor rgb="FFFF0000"/>
              <x14:axisColor theme="0" tint="-0.14999847407452621"/>
            </x14:dataBar>
          </x14:cfRule>
          <xm:sqref>Y9:AA18 Y20:AA20</xm:sqref>
        </x14:conditionalFormatting>
        <x14:conditionalFormatting xmlns:xm="http://schemas.microsoft.com/office/excel/2006/main">
          <x14:cfRule type="dataBar" id="{388060C4-F733-4628-9926-DE03E15CD40E}">
            <x14:dataBar minLength="0" maxLength="100" gradient="0">
              <x14:cfvo type="num">
                <xm:f>-50</xm:f>
              </x14:cfvo>
              <x14:cfvo type="num">
                <xm:f>200</xm:f>
              </x14:cfvo>
              <x14:negativeFillColor rgb="FFFF0000"/>
              <x14:axisColor theme="0" tint="-0.14999847407452621"/>
            </x14:dataBar>
          </x14:cfRule>
          <xm:sqref>Y19:AA19</xm:sqref>
        </x14:conditionalFormatting>
        <x14:conditionalFormatting xmlns:xm="http://schemas.microsoft.com/office/excel/2006/main">
          <x14:cfRule type="dataBar" id="{7E32986A-8980-4207-9495-45E3EC7A98E2}">
            <x14:dataBar minLength="0" maxLength="100" gradient="0">
              <x14:cfvo type="num">
                <xm:f>-200</xm:f>
              </x14:cfvo>
              <x14:cfvo type="num">
                <xm:f>500</xm:f>
              </x14:cfvo>
              <x14:negativeFillColor rgb="FFFF0000"/>
              <x14:axisColor theme="0" tint="-0.14999847407452621"/>
            </x14:dataBar>
          </x14:cfRule>
          <xm:sqref>AE15:AG15</xm:sqref>
        </x14:conditionalFormatting>
        <x14:conditionalFormatting xmlns:xm="http://schemas.microsoft.com/office/excel/2006/main">
          <x14:cfRule type="dataBar" id="{EB470672-C22A-456D-A2FE-5E21C459A6DA}">
            <x14:dataBar minLength="0" maxLength="100" gradient="0">
              <x14:cfvo type="num">
                <xm:f>-200</xm:f>
              </x14:cfvo>
              <x14:cfvo type="num">
                <xm:f>500</xm:f>
              </x14:cfvo>
              <x14:negativeFillColor rgb="FFFF0000"/>
              <x14:axisColor theme="0" tint="-0.14999847407452621"/>
            </x14:dataBar>
          </x14:cfRule>
          <xm:sqref>AE14:AG14</xm:sqref>
        </x14:conditionalFormatting>
        <x14:conditionalFormatting xmlns:xm="http://schemas.microsoft.com/office/excel/2006/main">
          <x14:cfRule type="dataBar" id="{2AA3A929-FC2D-4635-8FBB-9FF96B49DD66}">
            <x14:dataBar minLength="0" maxLength="100" gradient="0">
              <x14:cfvo type="num">
                <xm:f>-3</xm:f>
              </x14:cfvo>
              <x14:cfvo type="num">
                <xm:f>10</xm:f>
              </x14:cfvo>
              <x14:negativeFillColor rgb="FFFF0000"/>
              <x14:axisColor theme="0" tint="-0.14999847407452621"/>
            </x14:dataBar>
          </x14:cfRule>
          <xm:sqref>AE13:AG13</xm:sqref>
        </x14:conditionalFormatting>
        <x14:conditionalFormatting xmlns:xm="http://schemas.microsoft.com/office/excel/2006/main">
          <x14:cfRule type="iconSet" priority="128" id="{CE5ACE73-DC54-489A-9404-1859BE2FEFC8}">
            <x14:iconSet iconSet="3Symbols2" showValue="0" custom="1">
              <x14:cfvo type="percent">
                <xm:f>0</xm:f>
              </x14:cfvo>
              <x14:cfvo type="percent">
                <xm:f>0</xm:f>
              </x14:cfvo>
              <x14:cfvo type="num">
                <xm:f>1</xm:f>
              </x14:cfvo>
              <x14:cfIcon iconSet="NoIcons" iconId="0"/>
              <x14:cfIcon iconSet="NoIcons" iconId="0"/>
              <x14:cfIcon iconSet="3Symbols2" iconId="2"/>
            </x14:iconSet>
          </x14:cfRule>
          <xm:sqref>AE9:AG12 AE19:AG20</xm:sqref>
        </x14:conditionalFormatting>
        <x14:conditionalFormatting xmlns:xm="http://schemas.microsoft.com/office/excel/2006/main">
          <x14:cfRule type="iconSet" priority="130" id="{2216F834-63A8-43AB-8FA6-905E6A1DBCCB}">
            <x14:iconSet iconSet="3Symbols2" showValue="0" custom="1">
              <x14:cfvo type="percent">
                <xm:f>0</xm:f>
              </x14:cfvo>
              <x14:cfvo type="percent">
                <xm:f>0</xm:f>
              </x14:cfvo>
              <x14:cfvo type="num">
                <xm:f>1</xm:f>
              </x14:cfvo>
              <x14:cfIcon iconSet="NoIcons" iconId="0"/>
              <x14:cfIcon iconSet="NoIcons" iconId="0"/>
              <x14:cfIcon iconSet="3Symbols2" iconId="2"/>
            </x14:iconSet>
          </x14:cfRule>
          <xm:sqref>AJ9 AI10:AI13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workbookViewId="0">
      <selection activeCell="C35" sqref="C35"/>
    </sheetView>
  </sheetViews>
  <sheetFormatPr defaultRowHeight="12.75" x14ac:dyDescent="0.2"/>
  <cols>
    <col min="1" max="1" width="27.28515625" bestFit="1" customWidth="1"/>
    <col min="3" max="3" width="68.5703125" bestFit="1" customWidth="1"/>
    <col min="4" max="4" width="12.7109375" bestFit="1" customWidth="1"/>
    <col min="5" max="8" width="12.7109375" style="9" customWidth="1"/>
    <col min="9" max="9" width="20.140625" bestFit="1" customWidth="1"/>
    <col min="10" max="10" width="10" bestFit="1" customWidth="1"/>
    <col min="11" max="11" width="11" bestFit="1" customWidth="1"/>
    <col min="12" max="12" width="13.5703125" bestFit="1" customWidth="1"/>
    <col min="13" max="14" width="9.140625" style="9"/>
    <col min="16" max="19" width="9.140625" style="9"/>
  </cols>
  <sheetData>
    <row r="1" spans="1:24" x14ac:dyDescent="0.2">
      <c r="D1">
        <v>1</v>
      </c>
    </row>
    <row r="2" spans="1:24" ht="13.5" thickBot="1" x14ac:dyDescent="0.25">
      <c r="B2" s="109" t="s">
        <v>31</v>
      </c>
      <c r="C2" s="110"/>
      <c r="D2" s="110"/>
      <c r="E2" s="110"/>
      <c r="F2" s="110"/>
      <c r="G2" s="110"/>
      <c r="H2" s="110"/>
      <c r="I2" s="110"/>
      <c r="J2" s="110"/>
      <c r="K2" s="110"/>
      <c r="L2" s="110" t="s">
        <v>123</v>
      </c>
      <c r="M2" s="381" t="s">
        <v>93</v>
      </c>
      <c r="N2" s="381"/>
      <c r="O2" s="110" t="s">
        <v>123</v>
      </c>
      <c r="P2" s="382" t="s">
        <v>93</v>
      </c>
      <c r="Q2" s="382"/>
      <c r="R2" s="382" t="s">
        <v>81</v>
      </c>
      <c r="S2" s="382"/>
      <c r="V2">
        <v>5</v>
      </c>
      <c r="W2">
        <v>1</v>
      </c>
      <c r="X2" s="9" t="s">
        <v>702</v>
      </c>
    </row>
    <row r="3" spans="1:24" x14ac:dyDescent="0.2">
      <c r="B3" s="2" t="s">
        <v>29</v>
      </c>
      <c r="C3" s="2" t="s">
        <v>28</v>
      </c>
      <c r="D3" s="2" t="s">
        <v>666</v>
      </c>
      <c r="E3" s="2" t="s">
        <v>666</v>
      </c>
      <c r="F3" s="2" t="s">
        <v>666</v>
      </c>
      <c r="G3" s="2"/>
      <c r="H3" s="2" t="s">
        <v>666</v>
      </c>
      <c r="I3" s="2" t="s">
        <v>666</v>
      </c>
      <c r="J3" s="2" t="s">
        <v>675</v>
      </c>
      <c r="K3" t="s">
        <v>40</v>
      </c>
      <c r="L3" s="9" t="s">
        <v>705</v>
      </c>
      <c r="M3" s="9" t="s">
        <v>705</v>
      </c>
      <c r="N3" s="9" t="s">
        <v>859</v>
      </c>
      <c r="O3" s="9" t="s">
        <v>748</v>
      </c>
      <c r="P3" s="9" t="s">
        <v>667</v>
      </c>
      <c r="Q3" s="9" t="s">
        <v>860</v>
      </c>
      <c r="R3" t="s">
        <v>667</v>
      </c>
      <c r="S3" s="9" t="s">
        <v>749</v>
      </c>
      <c r="T3" t="s">
        <v>668</v>
      </c>
      <c r="W3">
        <v>2</v>
      </c>
      <c r="X3" s="9" t="s">
        <v>704</v>
      </c>
    </row>
    <row r="4" spans="1:24" s="9" customFormat="1" x14ac:dyDescent="0.2">
      <c r="B4" s="2"/>
      <c r="C4" s="2"/>
      <c r="D4" s="2">
        <f ca="1">OFFSET('Measure Quantitative Data'!V2,0,($D$1-1)*2)</f>
        <v>2012</v>
      </c>
      <c r="E4" s="2">
        <f ca="1">OFFSET('Measure Quantitative Data'!W2,0,($D$1-1)*2)</f>
        <v>2012</v>
      </c>
      <c r="F4" s="2">
        <f ca="1">OFFSET('Measure Quantitative Data'!X2,0,($D$1-1)*2)</f>
        <v>2012</v>
      </c>
      <c r="G4" s="2"/>
      <c r="H4" s="2">
        <f ca="1">OFFSET('Measure Quantitative Data'!Y2,0,($D$1-1)*2)</f>
        <v>2012</v>
      </c>
      <c r="I4" s="2">
        <f ca="1">OFFSET('Measure Quantitative Data'!Z2,0,($D$1-1)*2)</f>
        <v>2012</v>
      </c>
      <c r="J4" s="2">
        <f ca="1">OFFSET('Measure Quantitative Data'!G2,0,($D$1-1)*2)</f>
        <v>2014</v>
      </c>
      <c r="K4" s="2">
        <f ca="1">OFFSET('Measure Quantitative Data'!Q2,0,($D$1-1)*2)</f>
        <v>2014</v>
      </c>
      <c r="L4" s="2">
        <f ca="1">OFFSET('Measure Quantitative Data'!AJ2,0,($D$1-1)*2)</f>
        <v>2015</v>
      </c>
      <c r="M4" s="2">
        <f ca="1">OFFSET('Measure Quantitative Data'!AF2,0,($D$1-1)*2)</f>
        <v>2015</v>
      </c>
      <c r="N4" s="2">
        <f ca="1">OFFSET('Measure Quantitative Data'!AG2,0,($D$1-1)*2)</f>
        <v>2015</v>
      </c>
      <c r="O4" s="2">
        <f ca="1">OFFSET('Measure Quantitative Data'!AK2,0,($D$1-1)*2)</f>
        <v>2015</v>
      </c>
      <c r="P4" s="2">
        <f ca="1">OFFSET('Measure Quantitative Data'!AM2,0,($D$1-1)*2)</f>
        <v>2015</v>
      </c>
      <c r="Q4" s="2">
        <f ca="1">OFFSET('Measure Quantitative Data'!AN2,0,($D$1-1)*2)</f>
        <v>2015</v>
      </c>
      <c r="R4" s="2">
        <f ca="1">OFFSET('Measure Quantitative Data'!AQ2,0,($D$1-1)*2)</f>
        <v>2015</v>
      </c>
      <c r="S4" s="2">
        <f ca="1">OFFSET('Measure Quantitative Data'!AR2,0,($D$1-1)*2)</f>
        <v>2015</v>
      </c>
      <c r="T4" s="2">
        <f ca="1">OFFSET('Measure Qualitative Data'!H2,0,($D$1-1)*2)</f>
        <v>2015</v>
      </c>
      <c r="W4" s="9">
        <v>3</v>
      </c>
      <c r="X4" s="9" t="s">
        <v>703</v>
      </c>
    </row>
    <row r="5" spans="1:24" x14ac:dyDescent="0.2">
      <c r="A5" s="2"/>
      <c r="B5" s="2"/>
      <c r="C5" s="2"/>
      <c r="D5" s="2" t="str">
        <f ca="1">OFFSET('Measure Quantitative Data'!V3,0,($D$1-1)*2)</f>
        <v>PG&amp;E</v>
      </c>
      <c r="E5" s="2" t="str">
        <f ca="1">OFFSET('Measure Quantitative Data'!W3,0,($D$1-1)*2)</f>
        <v>SDG&amp;E</v>
      </c>
      <c r="F5" s="2" t="str">
        <f ca="1">OFFSET('Measure Quantitative Data'!X3,0,($D$1-1)*2)</f>
        <v>SCE</v>
      </c>
      <c r="G5" s="2"/>
      <c r="H5" s="2" t="str">
        <f ca="1">OFFSET('Measure Quantitative Data'!Y3,0,($D$1-1)*2)</f>
        <v>SCG</v>
      </c>
      <c r="I5" s="2" t="s">
        <v>739</v>
      </c>
      <c r="J5" s="2" t="str">
        <f ca="1">OFFSET('Measure Quantitative Data'!G3,0,($D$1-1)*2)</f>
        <v>National</v>
      </c>
      <c r="K5" s="2" t="str">
        <f ca="1">OFFSET('Measure Quantitative Data'!Q3,0,($D$1-1)*2)</f>
        <v>National</v>
      </c>
      <c r="L5" s="2" t="str">
        <f ca="1">OFFSET('Measure Quantitative Data'!AJ3,0,($D$1-1)*2)</f>
        <v>National</v>
      </c>
      <c r="M5" s="2" t="str">
        <f ca="1">OFFSET('Measure Quantitative Data'!AF3,0,($D$1-1)*2)</f>
        <v>National</v>
      </c>
      <c r="N5" s="2" t="str">
        <f ca="1">OFFSET('Measure Quantitative Data'!AG3,0,($D$1-1)*2)</f>
        <v>National</v>
      </c>
      <c r="O5" s="2" t="str">
        <f ca="1">OFFSET('Measure Quantitative Data'!AK3,0,($D$1-1)*2)</f>
        <v>National</v>
      </c>
      <c r="P5" s="2" t="str">
        <f ca="1">OFFSET('Measure Quantitative Data'!AM3,0,($D$1-1)*2)</f>
        <v>National</v>
      </c>
      <c r="Q5" s="2" t="str">
        <f ca="1">OFFSET('Measure Quantitative Data'!AN3,0,($D$1-1)*2)</f>
        <v>National</v>
      </c>
      <c r="R5" s="2" t="str">
        <f ca="1">OFFSET('Measure Quantitative Data'!AQ3,0,($D$1-1)*2)</f>
        <v>National</v>
      </c>
      <c r="S5" s="2" t="str">
        <f ca="1">OFFSET('Measure Quantitative Data'!AR3,0,($D$1-1)*2)</f>
        <v>National</v>
      </c>
      <c r="T5" s="2" t="s">
        <v>15</v>
      </c>
      <c r="U5" s="2"/>
      <c r="W5">
        <v>4</v>
      </c>
      <c r="X5" t="s">
        <v>738</v>
      </c>
    </row>
    <row r="6" spans="1:24" x14ac:dyDescent="0.2">
      <c r="A6" s="2" t="s">
        <v>30</v>
      </c>
      <c r="B6" s="2"/>
      <c r="C6" s="2"/>
      <c r="D6" s="111" t="str">
        <f ca="1">OFFSET('Measure Quantitative Data'!V6,0,($D$1-1)*2)</f>
        <v>% that have a dryer - PG&amp;E</v>
      </c>
      <c r="E6" s="111" t="str">
        <f ca="1">OFFSET('Measure Quantitative Data'!W6,0,($D$1-1)*2)</f>
        <v>% that have a dryer - SDG&amp;E</v>
      </c>
      <c r="F6" s="111" t="str">
        <f ca="1">OFFSET('Measure Quantitative Data'!X6,0,($D$1-1)*2)</f>
        <v>% that have a dryer - SCE</v>
      </c>
      <c r="G6" s="111"/>
      <c r="H6" s="111" t="str">
        <f ca="1">OFFSET('Measure Quantitative Data'!Y6,0,($D$1-1)*2)</f>
        <v>% that have a dryer - SCG</v>
      </c>
      <c r="I6" s="111" t="str">
        <f ca="1">OFFSET('Measure Quantitative Data'!Z6,0,($D$1-1)*2)</f>
        <v>% that have a dryer - ALL</v>
      </c>
      <c r="J6" s="111" t="str">
        <f ca="1">OFFSET('Measure Quantitative Data'!G6,0,($D$1-1)*2)</f>
        <v># Models</v>
      </c>
      <c r="K6" s="111" t="str">
        <f ca="1">OFFSET('Measure Quantitative Data'!Q6,0,($D$1-1)*2)</f>
        <v>Unit cost</v>
      </c>
      <c r="L6" s="111" t="str">
        <f ca="1">OFFSET('Measure Quantitative Data'!AJ6,0,($D$1-1)*2)</f>
        <v xml:space="preserve">DOE Annual UEC kWh </v>
      </c>
      <c r="M6" s="111" t="str">
        <f ca="1">OFFSET('Measure Quantitative Data'!AF6,0,($D$1-1)*2)</f>
        <v xml:space="preserve">ENERGY STAR UEC (Unit Energy Consumption) kWh </v>
      </c>
      <c r="N6" s="111" t="str">
        <f ca="1">OFFSET('Measure Quantitative Data'!AG6,0,($D$1-1)*2)</f>
        <v>ENERGY STAR UEC Mbtu/year</v>
      </c>
      <c r="O6" s="111" t="str">
        <f ca="1">OFFSET('Measure Quantitative Data'!AK6,0,($D$1-1)*2)</f>
        <v>DOE  Annual UEC therms</v>
      </c>
      <c r="P6" s="111" t="str">
        <f ca="1">OFFSET('Measure Quantitative Data'!AM6,0,($D$1-1)*2)</f>
        <v>ENERGY STAR UES kWh</v>
      </c>
      <c r="Q6" s="111" t="str">
        <f ca="1">OFFSET('Measure Quantitative Data'!AN6,0,($D$1-1)*2)</f>
        <v>ENERGY STAR UES Mbtu/year</v>
      </c>
      <c r="R6" s="111" t="str">
        <f ca="1">OFFSET('Measure Quantitative Data'!AQ6,0,($D$1-1)*2)</f>
        <v>DOE UES (kWh)</v>
      </c>
      <c r="S6" s="111" t="str">
        <f ca="1">OFFSET('Measure Quantitative Data'!AR6,0,($D$1-1)*2)</f>
        <v>DOE UES (therms)</v>
      </c>
      <c r="T6" s="111" t="str">
        <f ca="1">OFFSET('Measure Qualitative Data'!H1,0,($D$1-1)*2)</f>
        <v>Major programs targeting measure</v>
      </c>
      <c r="U6" s="2"/>
      <c r="W6">
        <v>5</v>
      </c>
      <c r="X6" t="s">
        <v>739</v>
      </c>
    </row>
    <row r="7" spans="1:24" s="9" customFormat="1" x14ac:dyDescent="0.2">
      <c r="A7" s="2"/>
      <c r="B7" s="2"/>
      <c r="C7" s="2"/>
      <c r="D7" s="21">
        <f ca="1">OFFSET('Measure Quantitative Data'!V7,0,($D$1-1)*2)</f>
        <v>22</v>
      </c>
      <c r="E7" s="21">
        <f ca="1">OFFSET('Measure Quantitative Data'!W7,0,($D$1-1)*2)</f>
        <v>23</v>
      </c>
      <c r="F7" s="21">
        <f ca="1">OFFSET('Measure Quantitative Data'!X7,0,($D$1-1)*2)</f>
        <v>24</v>
      </c>
      <c r="G7" s="21"/>
      <c r="H7" s="21">
        <f ca="1">OFFSET('Measure Quantitative Data'!Y7,0,($D$1-1)*2)</f>
        <v>25</v>
      </c>
      <c r="I7" s="21">
        <f ca="1">OFFSET('Measure Quantitative Data'!Z7,0,($D$1-1)*2)</f>
        <v>26</v>
      </c>
      <c r="J7" s="21">
        <f ca="1">OFFSET('Measure Quantitative Data'!G7,0,($D$1-1)*2)</f>
        <v>7</v>
      </c>
      <c r="K7" s="22">
        <f ca="1">OFFSET('Measure Quantitative Data'!Q7,0,($D$1-1)*2)</f>
        <v>17</v>
      </c>
      <c r="L7" s="21">
        <f ca="1">OFFSET('Measure Quantitative Data'!AJ7,0,($D$1-1)*2)</f>
        <v>36</v>
      </c>
      <c r="M7" s="21">
        <f ca="1">OFFSET('Measure Quantitative Data'!AF7,0,($D$1-1)*2)</f>
        <v>32</v>
      </c>
      <c r="N7" s="21">
        <f ca="1">OFFSET('Measure Quantitative Data'!AG7,0,($D$1-1)*2)</f>
        <v>33</v>
      </c>
      <c r="O7" s="21">
        <f ca="1">OFFSET('Measure Quantitative Data'!AK7,0,($D$1-1)*2)</f>
        <v>37</v>
      </c>
      <c r="P7" s="21">
        <f ca="1">OFFSET('Measure Quantitative Data'!AM7,0,($D$1-1)*2)</f>
        <v>39</v>
      </c>
      <c r="Q7" s="21">
        <f ca="1">OFFSET('Measure Quantitative Data'!AN7,0,($D$1-1)*2)</f>
        <v>40</v>
      </c>
      <c r="R7" s="21">
        <f ca="1">OFFSET('Measure Quantitative Data'!AQ7,0,($D$1-1)*2)</f>
        <v>43</v>
      </c>
      <c r="S7" s="21">
        <f ca="1">OFFSET('Measure Quantitative Data'!AR7,0,($D$1-1)*2)</f>
        <v>44</v>
      </c>
      <c r="T7" s="21">
        <f ca="1">OFFSET('Measure Qualitative Data'!H4,0,($D$1-1)*2)</f>
        <v>8</v>
      </c>
      <c r="U7" s="2"/>
      <c r="W7"/>
    </row>
    <row r="8" spans="1:24" x14ac:dyDescent="0.2">
      <c r="A8" s="11">
        <v>1</v>
      </c>
      <c r="B8" s="112">
        <f>MATCH($A8,'Measure Quantitative Data'!$B$8:$B$19,0)</f>
        <v>1</v>
      </c>
      <c r="C8" s="112" t="str">
        <f>INDEX('Measure Quantitative Data'!$B$8:$C$19,'Intermediate Data'!B8,2)</f>
        <v>Vented Electric, Standard (4.4 ft3 or greater capacity)</v>
      </c>
      <c r="D8" s="115">
        <f ca="1">IF(ISNUMBER(INDEX('Measure Quantitative Data'!$8:$19,'Intermediate Data'!$B8,'Intermediate Data'!D$7)),INDEX('Measure Quantitative Data'!$8:$19,'Intermediate Data'!$B8,'Intermediate Data'!D$7),'Summary View'!$AA$2)</f>
        <v>0.46</v>
      </c>
      <c r="E8" s="115">
        <f ca="1">IF(ISNUMBER(INDEX('Measure Quantitative Data'!$8:$19,'Intermediate Data'!$B8,'Intermediate Data'!E$7)),INDEX('Measure Quantitative Data'!$8:$19,'Intermediate Data'!$B8,'Intermediate Data'!E$7),'Summary View'!$AA$2)</f>
        <v>0.23</v>
      </c>
      <c r="F8" s="115">
        <f ca="1">IF(ISNUMBER(INDEX('Measure Quantitative Data'!$8:$19,'Intermediate Data'!$B8,'Intermediate Data'!F$7)),INDEX('Measure Quantitative Data'!$8:$19,'Intermediate Data'!$B8,'Intermediate Data'!F$7),'Summary View'!$AA$2)</f>
        <v>0.08</v>
      </c>
      <c r="G8" s="115"/>
      <c r="H8" s="115">
        <f ca="1">IF(ISNUMBER(INDEX('Measure Quantitative Data'!$8:$19,'Intermediate Data'!$B8,'Intermediate Data'!H$7)),INDEX('Measure Quantitative Data'!$8:$19,'Intermediate Data'!$B8,'Intermediate Data'!H$7),'Summary View'!$AA$2)</f>
        <v>7.0000000000000007E-2</v>
      </c>
      <c r="I8" s="115">
        <f ca="1">IF(ISNUMBER(INDEX('Measure Quantitative Data'!$8:$19,'Intermediate Data'!$B8,'Intermediate Data'!I$7)),INDEX('Measure Quantitative Data'!$8:$19,'Intermediate Data'!$B8,'Intermediate Data'!I$7),'Summary View'!$AA$2)</f>
        <v>0.27</v>
      </c>
      <c r="J8" s="112">
        <f ca="1">IF(ISNUMBER(INDEX('Measure Quantitative Data'!$8:$19,'Intermediate Data'!$B8,'Intermediate Data'!J$7)),INDEX('Measure Quantitative Data'!$8:$19,'Intermediate Data'!$B8,'Intermediate Data'!J$7),'Summary View'!$AA$2)</f>
        <v>151</v>
      </c>
      <c r="K8" s="116">
        <f ca="1">IF(ISNUMBER(INDEX('Measure Quantitative Data'!$8:$19,'Intermediate Data'!$B8,'Intermediate Data'!K$7)),INDEX('Measure Quantitative Data'!$8:$19,'Intermediate Data'!$B8,'Intermediate Data'!K$7),'Summary View'!$AA$2)</f>
        <v>912.91959064327455</v>
      </c>
      <c r="L8" s="112">
        <f ca="1">IF(ISNUMBER(INDEX('Measure Quantitative Data'!$8:$19,'Intermediate Data'!$B8,'Intermediate Data'!L$7)),INDEX('Measure Quantitative Data'!$8:$19,'Intermediate Data'!$B8,'Intermediate Data'!L$7),'Summary View'!$AA$2)</f>
        <v>684</v>
      </c>
      <c r="M8" s="112">
        <f ca="1">IF(ISNUMBER(INDEX('Measure Quantitative Data'!$8:$19,'Intermediate Data'!$B8,'Intermediate Data'!M$7)),INDEX('Measure Quantitative Data'!$8:$19,'Intermediate Data'!$B8,'Intermediate Data'!M$7),'Summary View'!$AA$2)</f>
        <v>760</v>
      </c>
      <c r="N8" s="112">
        <f ca="1">IF(ISNUMBER(INDEX('Measure Quantitative Data'!$8:$19,'Intermediate Data'!$B8,'Intermediate Data'!N$7)),INDEX('Measure Quantitative Data'!$8:$19,'Intermediate Data'!$B8,'Intermediate Data'!N$7),'Summary View'!$AA$2)</f>
        <v>1.0000000000000001E-5</v>
      </c>
      <c r="O8" s="112">
        <f ca="1">IF(ISNUMBER(INDEX('Measure Quantitative Data'!$8:$19,'Intermediate Data'!$B8,'Intermediate Data'!O$7)),INDEX('Measure Quantitative Data'!$8:$19,'Intermediate Data'!$B8,'Intermediate Data'!O$7),'Summary View'!$AA$2)</f>
        <v>0</v>
      </c>
      <c r="P8" s="112">
        <f ca="1">IF(ISNUMBER(INDEX('Measure Quantitative Data'!$8:$19,'Intermediate Data'!$B8,'Intermediate Data'!P$7)),INDEX('Measure Quantitative Data'!$8:$19,'Intermediate Data'!$B8,'Intermediate Data'!P$7),'Summary View'!$AA$2)</f>
        <v>1E-4</v>
      </c>
      <c r="Q8" s="112">
        <f ca="1">IF(ISNUMBER(INDEX('Measure Quantitative Data'!$8:$19,'Intermediate Data'!$B8,'Intermediate Data'!Q$7)),INDEX('Measure Quantitative Data'!$8:$19,'Intermediate Data'!$B8,'Intermediate Data'!Q$7),'Summary View'!$AA$2)</f>
        <v>1.0000000000000001E-5</v>
      </c>
      <c r="R8" s="112">
        <f ca="1">IF(ISNUMBER(INDEX('Measure Quantitative Data'!$8:$19,'Intermediate Data'!$B8,'Intermediate Data'!R$7)),INDEX('Measure Quantitative Data'!$8:$19,'Intermediate Data'!$B8,'Intermediate Data'!R$7),'Summary View'!$AA$2)</f>
        <v>0</v>
      </c>
      <c r="S8" s="112">
        <f ca="1">IF(ISNUMBER(INDEX('Measure Quantitative Data'!$8:$19,'Intermediate Data'!$B8,'Intermediate Data'!S$7)),INDEX('Measure Quantitative Data'!$8:$19,'Intermediate Data'!$B8,'Intermediate Data'!S$7),'Summary View'!$AA$2)</f>
        <v>0</v>
      </c>
      <c r="T8" s="112">
        <v>0</v>
      </c>
    </row>
    <row r="9" spans="1:24" x14ac:dyDescent="0.2">
      <c r="A9" s="11">
        <v>2</v>
      </c>
      <c r="B9" s="112">
        <f>MATCH($A9,'Measure Quantitative Data'!$B$8:$B$19,0)</f>
        <v>2</v>
      </c>
      <c r="C9" s="112" t="str">
        <f>INDEX('Measure Quantitative Data'!$B$8:$C$19,'Intermediate Data'!B9,2)</f>
        <v>ENERGY STAR Ventless or vented electric, standard (4.4 cu-ft or greater)</v>
      </c>
      <c r="D9" s="115">
        <f ca="1">IF(ISNUMBER(INDEX('Measure Quantitative Data'!$8:$19,'Intermediate Data'!$B9,'Intermediate Data'!D$7)),INDEX('Measure Quantitative Data'!$8:$19,'Intermediate Data'!$B9,'Intermediate Data'!D$7),'Summary View'!$AA$2)</f>
        <v>0</v>
      </c>
      <c r="E9" s="115">
        <f ca="1">IF(ISNUMBER(INDEX('Measure Quantitative Data'!$8:$19,'Intermediate Data'!$B9,'Intermediate Data'!E$7)),INDEX('Measure Quantitative Data'!$8:$19,'Intermediate Data'!$B9,'Intermediate Data'!E$7),'Summary View'!$AA$2)</f>
        <v>0</v>
      </c>
      <c r="F9" s="115">
        <f ca="1">IF(ISNUMBER(INDEX('Measure Quantitative Data'!$8:$19,'Intermediate Data'!$B9,'Intermediate Data'!F$7)),INDEX('Measure Quantitative Data'!$8:$19,'Intermediate Data'!$B9,'Intermediate Data'!F$7),'Summary View'!$AA$2)</f>
        <v>0</v>
      </c>
      <c r="G9" s="115"/>
      <c r="H9" s="115">
        <f ca="1">IF(ISNUMBER(INDEX('Measure Quantitative Data'!$8:$19,'Intermediate Data'!$B9,'Intermediate Data'!H$7)),INDEX('Measure Quantitative Data'!$8:$19,'Intermediate Data'!$B9,'Intermediate Data'!H$7),'Summary View'!$AA$2)</f>
        <v>0</v>
      </c>
      <c r="I9" s="115">
        <f ca="1">IF(ISNUMBER(INDEX('Measure Quantitative Data'!$8:$19,'Intermediate Data'!$B9,'Intermediate Data'!I$7)),INDEX('Measure Quantitative Data'!$8:$19,'Intermediate Data'!$B9,'Intermediate Data'!I$7),'Summary View'!$AA$2)</f>
        <v>0</v>
      </c>
      <c r="J9" s="112">
        <f ca="1">IF(ISNUMBER(INDEX('Measure Quantitative Data'!$8:$19,'Intermediate Data'!$B9,'Intermediate Data'!J$7)),INDEX('Measure Quantitative Data'!$8:$19,'Intermediate Data'!$B9,'Intermediate Data'!J$7),'Summary View'!$AA$2)</f>
        <v>24</v>
      </c>
      <c r="K9" s="116">
        <f ca="1">IF(ISNUMBER(INDEX('Measure Quantitative Data'!$8:$19,'Intermediate Data'!$B9,'Intermediate Data'!K$7)),INDEX('Measure Quantitative Data'!$8:$19,'Intermediate Data'!$B9,'Intermediate Data'!K$7),'Summary View'!$AA$2)</f>
        <v>1010.1609374999999</v>
      </c>
      <c r="L9" s="112">
        <f ca="1">IF(ISNUMBER(INDEX('Measure Quantitative Data'!$8:$19,'Intermediate Data'!$B9,'Intermediate Data'!L$7)),INDEX('Measure Quantitative Data'!$8:$19,'Intermediate Data'!$B9,'Intermediate Data'!L$7),'Summary View'!$AA$2)</f>
        <v>651</v>
      </c>
      <c r="M9" s="112">
        <f ca="1">IF(ISNUMBER(INDEX('Measure Quantitative Data'!$8:$19,'Intermediate Data'!$B9,'Intermediate Data'!M$7)),INDEX('Measure Quantitative Data'!$8:$19,'Intermediate Data'!$B9,'Intermediate Data'!M$7),'Summary View'!$AA$2)</f>
        <v>608</v>
      </c>
      <c r="N9" s="112">
        <f ca="1">IF(ISNUMBER(INDEX('Measure Quantitative Data'!$8:$19,'Intermediate Data'!$B9,'Intermediate Data'!N$7)),INDEX('Measure Quantitative Data'!$8:$19,'Intermediate Data'!$B9,'Intermediate Data'!N$7),'Summary View'!$AA$2)</f>
        <v>1.0000000000000001E-5</v>
      </c>
      <c r="O9" s="112">
        <f ca="1">IF(ISNUMBER(INDEX('Measure Quantitative Data'!$8:$19,'Intermediate Data'!$B9,'Intermediate Data'!O$7)),INDEX('Measure Quantitative Data'!$8:$19,'Intermediate Data'!$B9,'Intermediate Data'!O$7),'Summary View'!$AA$2)</f>
        <v>0</v>
      </c>
      <c r="P9" s="162">
        <f ca="1">IF(ISNUMBER(INDEX('Measure Quantitative Data'!$8:$19,'Intermediate Data'!$B9,'Intermediate Data'!P$7)),INDEX('Measure Quantitative Data'!$8:$19,'Intermediate Data'!$B9,'Intermediate Data'!P$7),'Summary View'!$AA$2)</f>
        <v>160</v>
      </c>
      <c r="Q9" s="162">
        <f ca="1">IF(ISNUMBER(INDEX('Measure Quantitative Data'!$8:$19,'Intermediate Data'!$B9,'Intermediate Data'!Q$7)),INDEX('Measure Quantitative Data'!$8:$19,'Intermediate Data'!$B9,'Intermediate Data'!Q$7),'Summary View'!$AA$2)</f>
        <v>1.0000000000000001E-5</v>
      </c>
      <c r="R9" s="162">
        <f ca="1">IF(ISNUMBER(INDEX('Measure Quantitative Data'!$8:$19,'Intermediate Data'!$B9,'Intermediate Data'!R$7)),INDEX('Measure Quantitative Data'!$8:$19,'Intermediate Data'!$B9,'Intermediate Data'!R$7),'Summary View'!$AA$2)</f>
        <v>33</v>
      </c>
      <c r="S9" s="112">
        <f ca="1">IF(ISNUMBER(INDEX('Measure Quantitative Data'!$8:$19,'Intermediate Data'!$B9,'Intermediate Data'!S$7)),INDEX('Measure Quantitative Data'!$8:$19,'Intermediate Data'!$B9,'Intermediate Data'!S$7),'Summary View'!$AA$2)</f>
        <v>0</v>
      </c>
      <c r="T9" s="112">
        <v>1</v>
      </c>
    </row>
    <row r="10" spans="1:24" x14ac:dyDescent="0.2">
      <c r="A10" s="11">
        <v>3</v>
      </c>
      <c r="B10" s="112">
        <f>MATCH($A10,'Measure Quantitative Data'!$B$8:$B$19,0)</f>
        <v>3</v>
      </c>
      <c r="C10" s="112" t="str">
        <f>INDEX('Measure Quantitative Data'!$B$8:$C$19,'Intermediate Data'!B10,2)</f>
        <v>ENERGY STAR 2014 ET Heat Pump Hybrid</v>
      </c>
      <c r="D10" s="115">
        <f ca="1">IF(ISNUMBER(INDEX('Measure Quantitative Data'!$8:$19,'Intermediate Data'!$B10,'Intermediate Data'!D$7)),INDEX('Measure Quantitative Data'!$8:$19,'Intermediate Data'!$B10,'Intermediate Data'!D$7),'Summary View'!$AA$2)</f>
        <v>0</v>
      </c>
      <c r="E10" s="115">
        <f ca="1">IF(ISNUMBER(INDEX('Measure Quantitative Data'!$8:$19,'Intermediate Data'!$B10,'Intermediate Data'!E$7)),INDEX('Measure Quantitative Data'!$8:$19,'Intermediate Data'!$B10,'Intermediate Data'!E$7),'Summary View'!$AA$2)</f>
        <v>0</v>
      </c>
      <c r="F10" s="115">
        <f ca="1">IF(ISNUMBER(INDEX('Measure Quantitative Data'!$8:$19,'Intermediate Data'!$B10,'Intermediate Data'!F$7)),INDEX('Measure Quantitative Data'!$8:$19,'Intermediate Data'!$B10,'Intermediate Data'!F$7),'Summary View'!$AA$2)</f>
        <v>0</v>
      </c>
      <c r="G10" s="115"/>
      <c r="H10" s="115">
        <f ca="1">IF(ISNUMBER(INDEX('Measure Quantitative Data'!$8:$19,'Intermediate Data'!$B10,'Intermediate Data'!H$7)),INDEX('Measure Quantitative Data'!$8:$19,'Intermediate Data'!$B10,'Intermediate Data'!H$7),'Summary View'!$AA$2)</f>
        <v>0</v>
      </c>
      <c r="I10" s="115">
        <f ca="1">IF(ISNUMBER(INDEX('Measure Quantitative Data'!$8:$19,'Intermediate Data'!$B10,'Intermediate Data'!I$7)),INDEX('Measure Quantitative Data'!$8:$19,'Intermediate Data'!$B10,'Intermediate Data'!I$7),'Summary View'!$AA$2)</f>
        <v>0</v>
      </c>
      <c r="J10" s="112">
        <f ca="1">IF(ISNUMBER(INDEX('Measure Quantitative Data'!$8:$19,'Intermediate Data'!$B10,'Intermediate Data'!J$7)),INDEX('Measure Quantitative Data'!$8:$19,'Intermediate Data'!$B10,'Intermediate Data'!J$7),'Summary View'!$AA$2)</f>
        <v>2</v>
      </c>
      <c r="K10" s="116">
        <f ca="1">IF(ISNUMBER(INDEX('Measure Quantitative Data'!$8:$19,'Intermediate Data'!$B10,'Intermediate Data'!K$7)),INDEX('Measure Quantitative Data'!$8:$19,'Intermediate Data'!$B10,'Intermediate Data'!K$7),'Summary View'!$AA$2)</f>
        <v>1649</v>
      </c>
      <c r="L10" s="112">
        <f ca="1">IF(ISNUMBER(INDEX('Measure Quantitative Data'!$8:$19,'Intermediate Data'!$B10,'Intermediate Data'!L$7)),INDEX('Measure Quantitative Data'!$8:$19,'Intermediate Data'!$B10,'Intermediate Data'!L$7),'Summary View'!$AA$2)</f>
        <v>597</v>
      </c>
      <c r="M10" s="112">
        <f ca="1">IF(ISNUMBER(INDEX('Measure Quantitative Data'!$8:$19,'Intermediate Data'!$B10,'Intermediate Data'!M$7)),INDEX('Measure Quantitative Data'!$8:$19,'Intermediate Data'!$B10,'Intermediate Data'!M$7),'Summary View'!$AA$2)</f>
        <v>543.5</v>
      </c>
      <c r="N10" s="112">
        <f ca="1">IF(ISNUMBER(INDEX('Measure Quantitative Data'!$8:$19,'Intermediate Data'!$B10,'Intermediate Data'!N$7)),INDEX('Measure Quantitative Data'!$8:$19,'Intermediate Data'!$B10,'Intermediate Data'!N$7),'Summary View'!$AA$2)</f>
        <v>1.0000000000000001E-5</v>
      </c>
      <c r="O10" s="112">
        <f ca="1">IF(ISNUMBER(INDEX('Measure Quantitative Data'!$8:$19,'Intermediate Data'!$B10,'Intermediate Data'!O$7)),INDEX('Measure Quantitative Data'!$8:$19,'Intermediate Data'!$B10,'Intermediate Data'!O$7),'Summary View'!$AA$2)</f>
        <v>0</v>
      </c>
      <c r="P10" s="162">
        <f ca="1">IF(ISNUMBER(INDEX('Measure Quantitative Data'!$8:$19,'Intermediate Data'!$B10,'Intermediate Data'!P$7)),INDEX('Measure Quantitative Data'!$8:$19,'Intermediate Data'!$B10,'Intermediate Data'!P$7),'Summary View'!$AA$2)</f>
        <v>216.5</v>
      </c>
      <c r="Q10" s="162">
        <f ca="1">IF(ISNUMBER(INDEX('Measure Quantitative Data'!$8:$19,'Intermediate Data'!$B10,'Intermediate Data'!Q$7)),INDEX('Measure Quantitative Data'!$8:$19,'Intermediate Data'!$B10,'Intermediate Data'!Q$7),'Summary View'!$AA$2)</f>
        <v>9.9999999999999995E-7</v>
      </c>
      <c r="R10" s="162">
        <f ca="1">IF(ISNUMBER(INDEX('Measure Quantitative Data'!$8:$19,'Intermediate Data'!$B10,'Intermediate Data'!R$7)),INDEX('Measure Quantitative Data'!$8:$19,'Intermediate Data'!$B10,'Intermediate Data'!R$7),'Summary View'!$AA$2)</f>
        <v>87</v>
      </c>
      <c r="S10" s="112">
        <f ca="1">IF(ISNUMBER(INDEX('Measure Quantitative Data'!$8:$19,'Intermediate Data'!$B10,'Intermediate Data'!S$7)),INDEX('Measure Quantitative Data'!$8:$19,'Intermediate Data'!$B10,'Intermediate Data'!S$7),'Summary View'!$AA$2)</f>
        <v>0</v>
      </c>
      <c r="T10" s="112">
        <v>0</v>
      </c>
    </row>
    <row r="11" spans="1:24" x14ac:dyDescent="0.2">
      <c r="A11" s="11">
        <v>4</v>
      </c>
      <c r="B11" s="112">
        <f>MATCH($A11,'Measure Quantitative Data'!$B$8:$B$19,0)</f>
        <v>4</v>
      </c>
      <c r="C11" s="112" t="str">
        <f>INDEX('Measure Quantitative Data'!$B$8:$C$19,'Intermediate Data'!B11,2)</f>
        <v>Heat Pump (International)</v>
      </c>
      <c r="D11" s="115">
        <f ca="1">IF(ISNUMBER(INDEX('Measure Quantitative Data'!$8:$19,'Intermediate Data'!$B11,'Intermediate Data'!D$7)),INDEX('Measure Quantitative Data'!$8:$19,'Intermediate Data'!$B11,'Intermediate Data'!D$7),'Summary View'!$AA$2)</f>
        <v>0</v>
      </c>
      <c r="E11" s="115">
        <f ca="1">IF(ISNUMBER(INDEX('Measure Quantitative Data'!$8:$19,'Intermediate Data'!$B11,'Intermediate Data'!E$7)),INDEX('Measure Quantitative Data'!$8:$19,'Intermediate Data'!$B11,'Intermediate Data'!E$7),'Summary View'!$AA$2)</f>
        <v>0</v>
      </c>
      <c r="F11" s="115">
        <f ca="1">IF(ISNUMBER(INDEX('Measure Quantitative Data'!$8:$19,'Intermediate Data'!$B11,'Intermediate Data'!F$7)),INDEX('Measure Quantitative Data'!$8:$19,'Intermediate Data'!$B11,'Intermediate Data'!F$7),'Summary View'!$AA$2)</f>
        <v>0</v>
      </c>
      <c r="G11" s="115"/>
      <c r="H11" s="115">
        <f ca="1">IF(ISNUMBER(INDEX('Measure Quantitative Data'!$8:$19,'Intermediate Data'!$B11,'Intermediate Data'!H$7)),INDEX('Measure Quantitative Data'!$8:$19,'Intermediate Data'!$B11,'Intermediate Data'!H$7),'Summary View'!$AA$2)</f>
        <v>0</v>
      </c>
      <c r="I11" s="115">
        <f ca="1">IF(ISNUMBER(INDEX('Measure Quantitative Data'!$8:$19,'Intermediate Data'!$B11,'Intermediate Data'!I$7)),INDEX('Measure Quantitative Data'!$8:$19,'Intermediate Data'!$B11,'Intermediate Data'!I$7),'Summary View'!$AA$2)</f>
        <v>0</v>
      </c>
      <c r="J11" s="112">
        <f ca="1">IF(ISNUMBER(INDEX('Measure Quantitative Data'!$8:$19,'Intermediate Data'!$B11,'Intermediate Data'!J$7)),INDEX('Measure Quantitative Data'!$8:$19,'Intermediate Data'!$B11,'Intermediate Data'!J$7),'Summary View'!$AA$2)</f>
        <v>0</v>
      </c>
      <c r="K11" s="116">
        <f ca="1">IF(ISNUMBER(INDEX('Measure Quantitative Data'!$8:$19,'Intermediate Data'!$B11,'Intermediate Data'!K$7)),INDEX('Measure Quantitative Data'!$8:$19,'Intermediate Data'!$B11,'Intermediate Data'!K$7),'Summary View'!$AA$2)</f>
        <v>983</v>
      </c>
      <c r="L11" s="112">
        <f ca="1">IF(ISNUMBER(INDEX('Measure Quantitative Data'!$8:$19,'Intermediate Data'!$B11,'Intermediate Data'!L$7)),INDEX('Measure Quantitative Data'!$8:$19,'Intermediate Data'!$B11,'Intermediate Data'!L$7),'Summary View'!$AA$2)</f>
        <v>577</v>
      </c>
      <c r="M11" s="162">
        <f ca="1">IF(ISNUMBER(INDEX('Measure Quantitative Data'!$8:$19,'Intermediate Data'!$B11,'Intermediate Data'!M$7)),INDEX('Measure Quantitative Data'!$8:$19,'Intermediate Data'!$B11,'Intermediate Data'!M$7),'Summary View'!$AA$2)</f>
        <v>0</v>
      </c>
      <c r="N11" s="162">
        <f ca="1">IF(ISNUMBER(INDEX('Measure Quantitative Data'!$8:$19,'Intermediate Data'!$B11,'Intermediate Data'!N$7)),INDEX('Measure Quantitative Data'!$8:$19,'Intermediate Data'!$B11,'Intermediate Data'!N$7),'Summary View'!$AA$2)</f>
        <v>0</v>
      </c>
      <c r="O11" s="112">
        <f ca="1">IF(ISNUMBER(INDEX('Measure Quantitative Data'!$8:$19,'Intermediate Data'!$B11,'Intermediate Data'!O$7)),INDEX('Measure Quantitative Data'!$8:$19,'Intermediate Data'!$B11,'Intermediate Data'!O$7),'Summary View'!$AA$2)</f>
        <v>0</v>
      </c>
      <c r="P11" s="162">
        <f ca="1">IF(ISNUMBER(INDEX('Measure Quantitative Data'!$8:$19,'Intermediate Data'!$B11,'Intermediate Data'!P$7)),INDEX('Measure Quantitative Data'!$8:$19,'Intermediate Data'!$B11,'Intermediate Data'!P$7),'Summary View'!$AA$2)</f>
        <v>0</v>
      </c>
      <c r="Q11" s="162">
        <f ca="1">IF(ISNUMBER(INDEX('Measure Quantitative Data'!$8:$19,'Intermediate Data'!$B11,'Intermediate Data'!Q$7)),INDEX('Measure Quantitative Data'!$8:$19,'Intermediate Data'!$B11,'Intermediate Data'!Q$7),'Summary View'!$AA$2)</f>
        <v>0</v>
      </c>
      <c r="R11" s="162">
        <f ca="1">IF(ISNUMBER(INDEX('Measure Quantitative Data'!$8:$19,'Intermediate Data'!$B11,'Intermediate Data'!R$7)),INDEX('Measure Quantitative Data'!$8:$19,'Intermediate Data'!$B11,'Intermediate Data'!R$7),'Summary View'!$AA$2)</f>
        <v>107</v>
      </c>
      <c r="S11" s="112">
        <f ca="1">IF(ISNUMBER(INDEX('Measure Quantitative Data'!$8:$19,'Intermediate Data'!$B11,'Intermediate Data'!S$7)),INDEX('Measure Quantitative Data'!$8:$19,'Intermediate Data'!$B11,'Intermediate Data'!S$7),'Summary View'!$AA$2)</f>
        <v>0</v>
      </c>
      <c r="T11" s="112">
        <v>1</v>
      </c>
    </row>
    <row r="12" spans="1:24" x14ac:dyDescent="0.2">
      <c r="A12" s="11">
        <v>5</v>
      </c>
      <c r="B12" s="112">
        <f>MATCH($A12,'Measure Quantitative Data'!$B$8:$B$19,0)</f>
        <v>5</v>
      </c>
      <c r="C12" s="112" t="str">
        <f>INDEX('Measure Quantitative Data'!$B$8:$C$19,'Intermediate Data'!B12,2)</f>
        <v>Vented Electric, Compact (120V) (less than 4.4 ft3 capacity)</v>
      </c>
      <c r="D12" s="115">
        <f ca="1">IF(ISNUMBER(INDEX('Measure Quantitative Data'!$8:$19,'Intermediate Data'!$B12,'Intermediate Data'!D$7)),INDEX('Measure Quantitative Data'!$8:$19,'Intermediate Data'!$B12,'Intermediate Data'!D$7),'Summary View'!$AA$2)</f>
        <v>0</v>
      </c>
      <c r="E12" s="115">
        <f ca="1">IF(ISNUMBER(INDEX('Measure Quantitative Data'!$8:$19,'Intermediate Data'!$B12,'Intermediate Data'!E$7)),INDEX('Measure Quantitative Data'!$8:$19,'Intermediate Data'!$B12,'Intermediate Data'!E$7),'Summary View'!$AA$2)</f>
        <v>0</v>
      </c>
      <c r="F12" s="115">
        <f ca="1">IF(ISNUMBER(INDEX('Measure Quantitative Data'!$8:$19,'Intermediate Data'!$B12,'Intermediate Data'!F$7)),INDEX('Measure Quantitative Data'!$8:$19,'Intermediate Data'!$B12,'Intermediate Data'!F$7),'Summary View'!$AA$2)</f>
        <v>0</v>
      </c>
      <c r="G12" s="115"/>
      <c r="H12" s="115">
        <f ca="1">IF(ISNUMBER(INDEX('Measure Quantitative Data'!$8:$19,'Intermediate Data'!$B12,'Intermediate Data'!H$7)),INDEX('Measure Quantitative Data'!$8:$19,'Intermediate Data'!$B12,'Intermediate Data'!H$7),'Summary View'!$AA$2)</f>
        <v>0</v>
      </c>
      <c r="I12" s="115">
        <f ca="1">IF(ISNUMBER(INDEX('Measure Quantitative Data'!$8:$19,'Intermediate Data'!$B12,'Intermediate Data'!I$7)),INDEX('Measure Quantitative Data'!$8:$19,'Intermediate Data'!$B12,'Intermediate Data'!I$7),'Summary View'!$AA$2)</f>
        <v>0</v>
      </c>
      <c r="J12" s="112">
        <f ca="1">IF(ISNUMBER(INDEX('Measure Quantitative Data'!$8:$19,'Intermediate Data'!$B12,'Intermediate Data'!J$7)),INDEX('Measure Quantitative Data'!$8:$19,'Intermediate Data'!$B12,'Intermediate Data'!J$7),'Summary View'!$AA$2)</f>
        <v>4</v>
      </c>
      <c r="K12" s="116">
        <f ca="1">IF(ISNUMBER(INDEX('Measure Quantitative Data'!$8:$19,'Intermediate Data'!$B12,'Intermediate Data'!K$7)),INDEX('Measure Quantitative Data'!$8:$19,'Intermediate Data'!$B12,'Intermediate Data'!K$7),'Summary View'!$AA$2)</f>
        <v>611.11958333333325</v>
      </c>
      <c r="L12" s="112">
        <f ca="1">IF(ISNUMBER(INDEX('Measure Quantitative Data'!$8:$19,'Intermediate Data'!$B12,'Intermediate Data'!L$7)),INDEX('Measure Quantitative Data'!$8:$19,'Intermediate Data'!$B12,'Intermediate Data'!L$7),'Summary View'!$AA$2)</f>
        <v>305</v>
      </c>
      <c r="M12" s="112">
        <f ca="1">IF(ISNUMBER(INDEX('Measure Quantitative Data'!$8:$19,'Intermediate Data'!$B12,'Intermediate Data'!M$7)),INDEX('Measure Quantitative Data'!$8:$19,'Intermediate Data'!$B12,'Intermediate Data'!M$7),'Summary View'!$AA$2)</f>
        <v>0</v>
      </c>
      <c r="N12" s="112">
        <f ca="1">IF(ISNUMBER(INDEX('Measure Quantitative Data'!$8:$19,'Intermediate Data'!$B12,'Intermediate Data'!N$7)),INDEX('Measure Quantitative Data'!$8:$19,'Intermediate Data'!$B12,'Intermediate Data'!N$7),'Summary View'!$AA$2)</f>
        <v>0</v>
      </c>
      <c r="O12" s="112">
        <f ca="1">IF(ISNUMBER(INDEX('Measure Quantitative Data'!$8:$19,'Intermediate Data'!$B12,'Intermediate Data'!O$7)),INDEX('Measure Quantitative Data'!$8:$19,'Intermediate Data'!$B12,'Intermediate Data'!O$7),'Summary View'!$AA$2)</f>
        <v>0</v>
      </c>
      <c r="P12" s="162">
        <f ca="1">IF(ISNUMBER(INDEX('Measure Quantitative Data'!$8:$19,'Intermediate Data'!$B12,'Intermediate Data'!P$7)),INDEX('Measure Quantitative Data'!$8:$19,'Intermediate Data'!$B12,'Intermediate Data'!P$7),'Summary View'!$AA$2)</f>
        <v>1E-4</v>
      </c>
      <c r="Q12" s="162">
        <f ca="1">IF(ISNUMBER(INDEX('Measure Quantitative Data'!$8:$19,'Intermediate Data'!$B12,'Intermediate Data'!Q$7)),INDEX('Measure Quantitative Data'!$8:$19,'Intermediate Data'!$B12,'Intermediate Data'!Q$7),'Summary View'!$AA$2)</f>
        <v>1E-4</v>
      </c>
      <c r="R12" s="162">
        <f ca="1">IF(ISNUMBER(INDEX('Measure Quantitative Data'!$8:$19,'Intermediate Data'!$B12,'Intermediate Data'!R$7)),INDEX('Measure Quantitative Data'!$8:$19,'Intermediate Data'!$B12,'Intermediate Data'!R$7),'Summary View'!$AA$2)</f>
        <v>0</v>
      </c>
      <c r="S12" s="112">
        <f ca="1">IF(ISNUMBER(INDEX('Measure Quantitative Data'!$8:$19,'Intermediate Data'!$B12,'Intermediate Data'!S$7)),INDEX('Measure Quantitative Data'!$8:$19,'Intermediate Data'!$B12,'Intermediate Data'!S$7),'Summary View'!$AA$2)</f>
        <v>0</v>
      </c>
      <c r="T12" s="112">
        <v>0</v>
      </c>
    </row>
    <row r="13" spans="1:24" x14ac:dyDescent="0.2">
      <c r="A13" s="11">
        <v>6</v>
      </c>
      <c r="B13" s="112">
        <f>MATCH($A13,'Measure Quantitative Data'!$B$8:$B$19,0)</f>
        <v>6</v>
      </c>
      <c r="C13" s="112" t="str">
        <f>INDEX('Measure Quantitative Data'!$B$8:$C$19,'Intermediate Data'!B13,2)</f>
        <v>Vented Electric, Compact (240V) (less than 4.4 ft3 capacity)</v>
      </c>
      <c r="D13" s="115">
        <f ca="1">IF(ISNUMBER(INDEX('Measure Quantitative Data'!$8:$19,'Intermediate Data'!$B13,'Intermediate Data'!D$7)),INDEX('Measure Quantitative Data'!$8:$19,'Intermediate Data'!$B13,'Intermediate Data'!D$7),'Summary View'!$AA$2)</f>
        <v>0</v>
      </c>
      <c r="E13" s="115">
        <f ca="1">IF(ISNUMBER(INDEX('Measure Quantitative Data'!$8:$19,'Intermediate Data'!$B13,'Intermediate Data'!E$7)),INDEX('Measure Quantitative Data'!$8:$19,'Intermediate Data'!$B13,'Intermediate Data'!E$7),'Summary View'!$AA$2)</f>
        <v>0</v>
      </c>
      <c r="F13" s="115">
        <f ca="1">IF(ISNUMBER(INDEX('Measure Quantitative Data'!$8:$19,'Intermediate Data'!$B13,'Intermediate Data'!F$7)),INDEX('Measure Quantitative Data'!$8:$19,'Intermediate Data'!$B13,'Intermediate Data'!F$7),'Summary View'!$AA$2)</f>
        <v>0</v>
      </c>
      <c r="G13" s="115"/>
      <c r="H13" s="115">
        <f ca="1">IF(ISNUMBER(INDEX('Measure Quantitative Data'!$8:$19,'Intermediate Data'!$B13,'Intermediate Data'!H$7)),INDEX('Measure Quantitative Data'!$8:$19,'Intermediate Data'!$B13,'Intermediate Data'!H$7),'Summary View'!$AA$2)</f>
        <v>0</v>
      </c>
      <c r="I13" s="115">
        <f ca="1">IF(ISNUMBER(INDEX('Measure Quantitative Data'!$8:$19,'Intermediate Data'!$B13,'Intermediate Data'!I$7)),INDEX('Measure Quantitative Data'!$8:$19,'Intermediate Data'!$B13,'Intermediate Data'!I$7),'Summary View'!$AA$2)</f>
        <v>0</v>
      </c>
      <c r="J13" s="112">
        <f ca="1">IF(ISNUMBER(INDEX('Measure Quantitative Data'!$8:$19,'Intermediate Data'!$B13,'Intermediate Data'!J$7)),INDEX('Measure Quantitative Data'!$8:$19,'Intermediate Data'!$B13,'Intermediate Data'!J$7),'Summary View'!$AA$2)</f>
        <v>3</v>
      </c>
      <c r="K13" s="116">
        <f ca="1">IF(ISNUMBER(INDEX('Measure Quantitative Data'!$8:$19,'Intermediate Data'!$B13,'Intermediate Data'!K$7)),INDEX('Measure Quantitative Data'!$8:$19,'Intermediate Data'!$B13,'Intermediate Data'!K$7),'Summary View'!$AA$2)</f>
        <v>658.10777777777776</v>
      </c>
      <c r="L13" s="112">
        <f ca="1">IF(ISNUMBER(INDEX('Measure Quantitative Data'!$8:$19,'Intermediate Data'!$B13,'Intermediate Data'!L$7)),INDEX('Measure Quantitative Data'!$8:$19,'Intermediate Data'!$B13,'Intermediate Data'!L$7),'Summary View'!$AA$2)</f>
        <v>340</v>
      </c>
      <c r="M13" s="112">
        <f ca="1">IF(ISNUMBER(INDEX('Measure Quantitative Data'!$8:$19,'Intermediate Data'!$B13,'Intermediate Data'!M$7)),INDEX('Measure Quantitative Data'!$8:$19,'Intermediate Data'!$B13,'Intermediate Data'!M$7),'Summary View'!$AA$2)</f>
        <v>0</v>
      </c>
      <c r="N13" s="112">
        <f ca="1">IF(ISNUMBER(INDEX('Measure Quantitative Data'!$8:$19,'Intermediate Data'!$B13,'Intermediate Data'!N$7)),INDEX('Measure Quantitative Data'!$8:$19,'Intermediate Data'!$B13,'Intermediate Data'!N$7),'Summary View'!$AA$2)</f>
        <v>0</v>
      </c>
      <c r="O13" s="112">
        <f ca="1">IF(ISNUMBER(INDEX('Measure Quantitative Data'!$8:$19,'Intermediate Data'!$B13,'Intermediate Data'!O$7)),INDEX('Measure Quantitative Data'!$8:$19,'Intermediate Data'!$B13,'Intermediate Data'!O$7),'Summary View'!$AA$2)</f>
        <v>0</v>
      </c>
      <c r="P13" s="162">
        <f ca="1">IF(ISNUMBER(INDEX('Measure Quantitative Data'!$8:$19,'Intermediate Data'!$B13,'Intermediate Data'!P$7)),INDEX('Measure Quantitative Data'!$8:$19,'Intermediate Data'!$B13,'Intermediate Data'!P$7),'Summary View'!$AA$2)</f>
        <v>1E-4</v>
      </c>
      <c r="Q13" s="162">
        <f ca="1">IF(ISNUMBER(INDEX('Measure Quantitative Data'!$8:$19,'Intermediate Data'!$B13,'Intermediate Data'!Q$7)),INDEX('Measure Quantitative Data'!$8:$19,'Intermediate Data'!$B13,'Intermediate Data'!Q$7),'Summary View'!$AA$2)</f>
        <v>1E-4</v>
      </c>
      <c r="R13" s="162">
        <f ca="1">IF(ISNUMBER(INDEX('Measure Quantitative Data'!$8:$19,'Intermediate Data'!$B13,'Intermediate Data'!R$7)),INDEX('Measure Quantitative Data'!$8:$19,'Intermediate Data'!$B13,'Intermediate Data'!R$7),'Summary View'!$AA$2)</f>
        <v>0</v>
      </c>
      <c r="S13" s="112">
        <f ca="1">IF(ISNUMBER(INDEX('Measure Quantitative Data'!$8:$19,'Intermediate Data'!$B13,'Intermediate Data'!S$7)),INDEX('Measure Quantitative Data'!$8:$19,'Intermediate Data'!$B13,'Intermediate Data'!S$7),'Summary View'!$AA$2)</f>
        <v>0</v>
      </c>
      <c r="T13" s="112">
        <v>0</v>
      </c>
    </row>
    <row r="14" spans="1:24" x14ac:dyDescent="0.2">
      <c r="A14" s="11">
        <v>7</v>
      </c>
      <c r="B14" s="112">
        <f>MATCH($A14,'Measure Quantitative Data'!$B$8:$B$19,0)</f>
        <v>7</v>
      </c>
      <c r="C14" s="112" t="str">
        <f>INDEX('Measure Quantitative Data'!$B$8:$C$19,'Intermediate Data'!B14,2)</f>
        <v>Ventless Electric, Compact (240V) (less than 4.4 ft3 capacity)</v>
      </c>
      <c r="D14" s="115">
        <f ca="1">IF(ISNUMBER(INDEX('Measure Quantitative Data'!$8:$19,'Intermediate Data'!$B14,'Intermediate Data'!D$7)),INDEX('Measure Quantitative Data'!$8:$19,'Intermediate Data'!$B14,'Intermediate Data'!D$7),'Summary View'!$AA$2)</f>
        <v>0</v>
      </c>
      <c r="E14" s="115">
        <f ca="1">IF(ISNUMBER(INDEX('Measure Quantitative Data'!$8:$19,'Intermediate Data'!$B14,'Intermediate Data'!E$7)),INDEX('Measure Quantitative Data'!$8:$19,'Intermediate Data'!$B14,'Intermediate Data'!E$7),'Summary View'!$AA$2)</f>
        <v>0</v>
      </c>
      <c r="F14" s="115">
        <f ca="1">IF(ISNUMBER(INDEX('Measure Quantitative Data'!$8:$19,'Intermediate Data'!$B14,'Intermediate Data'!F$7)),INDEX('Measure Quantitative Data'!$8:$19,'Intermediate Data'!$B14,'Intermediate Data'!F$7),'Summary View'!$AA$2)</f>
        <v>0</v>
      </c>
      <c r="G14" s="115"/>
      <c r="H14" s="115">
        <f ca="1">IF(ISNUMBER(INDEX('Measure Quantitative Data'!$8:$19,'Intermediate Data'!$B14,'Intermediate Data'!H$7)),INDEX('Measure Quantitative Data'!$8:$19,'Intermediate Data'!$B14,'Intermediate Data'!H$7),'Summary View'!$AA$2)</f>
        <v>0</v>
      </c>
      <c r="I14" s="115">
        <f ca="1">IF(ISNUMBER(INDEX('Measure Quantitative Data'!$8:$19,'Intermediate Data'!$B14,'Intermediate Data'!I$7)),INDEX('Measure Quantitative Data'!$8:$19,'Intermediate Data'!$B14,'Intermediate Data'!I$7),'Summary View'!$AA$2)</f>
        <v>0</v>
      </c>
      <c r="J14" s="112">
        <f ca="1">IF(ISNUMBER(INDEX('Measure Quantitative Data'!$8:$19,'Intermediate Data'!$B14,'Intermediate Data'!J$7)),INDEX('Measure Quantitative Data'!$8:$19,'Intermediate Data'!$B14,'Intermediate Data'!J$7),'Summary View'!$AA$2)</f>
        <v>3</v>
      </c>
      <c r="K14" s="116">
        <f ca="1">IF(ISNUMBER(INDEX('Measure Quantitative Data'!$8:$19,'Intermediate Data'!$B14,'Intermediate Data'!K$7)),INDEX('Measure Quantitative Data'!$8:$19,'Intermediate Data'!$B14,'Intermediate Data'!K$7),'Summary View'!$AA$2)</f>
        <v>1032.9933333333333</v>
      </c>
      <c r="L14" s="112">
        <f ca="1">IF(ISNUMBER(INDEX('Measure Quantitative Data'!$8:$19,'Intermediate Data'!$B14,'Intermediate Data'!L$7)),INDEX('Measure Quantitative Data'!$8:$19,'Intermediate Data'!$B14,'Intermediate Data'!L$7),'Summary View'!$AA$2)</f>
        <v>372</v>
      </c>
      <c r="M14" s="112">
        <f ca="1">IF(ISNUMBER(INDEX('Measure Quantitative Data'!$8:$19,'Intermediate Data'!$B14,'Intermediate Data'!M$7)),INDEX('Measure Quantitative Data'!$8:$19,'Intermediate Data'!$B14,'Intermediate Data'!M$7),'Summary View'!$AA$2)</f>
        <v>0</v>
      </c>
      <c r="N14" s="112">
        <f ca="1">IF(ISNUMBER(INDEX('Measure Quantitative Data'!$8:$19,'Intermediate Data'!$B14,'Intermediate Data'!N$7)),INDEX('Measure Quantitative Data'!$8:$19,'Intermediate Data'!$B14,'Intermediate Data'!N$7),'Summary View'!$AA$2)</f>
        <v>0</v>
      </c>
      <c r="O14" s="112">
        <f ca="1">IF(ISNUMBER(INDEX('Measure Quantitative Data'!$8:$19,'Intermediate Data'!$B14,'Intermediate Data'!O$7)),INDEX('Measure Quantitative Data'!$8:$19,'Intermediate Data'!$B14,'Intermediate Data'!O$7),'Summary View'!$AA$2)</f>
        <v>0</v>
      </c>
      <c r="P14" s="162">
        <f ca="1">IF(ISNUMBER(INDEX('Measure Quantitative Data'!$8:$19,'Intermediate Data'!$B14,'Intermediate Data'!P$7)),INDEX('Measure Quantitative Data'!$8:$19,'Intermediate Data'!$B14,'Intermediate Data'!P$7),'Summary View'!$AA$2)</f>
        <v>1E-4</v>
      </c>
      <c r="Q14" s="162">
        <f ca="1">IF(ISNUMBER(INDEX('Measure Quantitative Data'!$8:$19,'Intermediate Data'!$B14,'Intermediate Data'!Q$7)),INDEX('Measure Quantitative Data'!$8:$19,'Intermediate Data'!$B14,'Intermediate Data'!Q$7),'Summary View'!$AA$2)</f>
        <v>1E-4</v>
      </c>
      <c r="R14" s="162">
        <f ca="1">IF(ISNUMBER(INDEX('Measure Quantitative Data'!$8:$19,'Intermediate Data'!$B14,'Intermediate Data'!R$7)),INDEX('Measure Quantitative Data'!$8:$19,'Intermediate Data'!$B14,'Intermediate Data'!R$7),'Summary View'!$AA$2)</f>
        <v>0</v>
      </c>
      <c r="S14" s="112">
        <f ca="1">IF(ISNUMBER(INDEX('Measure Quantitative Data'!$8:$19,'Intermediate Data'!$B14,'Intermediate Data'!S$7)),INDEX('Measure Quantitative Data'!$8:$19,'Intermediate Data'!$B14,'Intermediate Data'!S$7),'Summary View'!$AA$2)</f>
        <v>0</v>
      </c>
      <c r="T14" s="112">
        <v>0</v>
      </c>
    </row>
    <row r="15" spans="1:24" x14ac:dyDescent="0.2">
      <c r="A15" s="11">
        <v>8</v>
      </c>
      <c r="B15" s="112">
        <f>MATCH($A15,'Measure Quantitative Data'!$B$8:$B$19,0)</f>
        <v>8</v>
      </c>
      <c r="C15" s="112" t="str">
        <f>INDEX('Measure Quantitative Data'!$B$8:$C$19,'Intermediate Data'!B15,2)</f>
        <v>ENERGY STAR Ventless or vented electric, compact (120V) less than 4.4 cu ft capacity</v>
      </c>
      <c r="D15" s="115">
        <f ca="1">IF(ISNUMBER(INDEX('Measure Quantitative Data'!$8:$19,'Intermediate Data'!$B15,'Intermediate Data'!D$7)),INDEX('Measure Quantitative Data'!$8:$19,'Intermediate Data'!$B15,'Intermediate Data'!D$7),'Summary View'!$AA$2)</f>
        <v>0</v>
      </c>
      <c r="E15" s="115">
        <f ca="1">IF(ISNUMBER(INDEX('Measure Quantitative Data'!$8:$19,'Intermediate Data'!$B15,'Intermediate Data'!E$7)),INDEX('Measure Quantitative Data'!$8:$19,'Intermediate Data'!$B15,'Intermediate Data'!E$7),'Summary View'!$AA$2)</f>
        <v>0</v>
      </c>
      <c r="F15" s="115">
        <f ca="1">IF(ISNUMBER(INDEX('Measure Quantitative Data'!$8:$19,'Intermediate Data'!$B15,'Intermediate Data'!F$7)),INDEX('Measure Quantitative Data'!$8:$19,'Intermediate Data'!$B15,'Intermediate Data'!F$7),'Summary View'!$AA$2)</f>
        <v>0</v>
      </c>
      <c r="G15" s="115"/>
      <c r="H15" s="115">
        <f ca="1">IF(ISNUMBER(INDEX('Measure Quantitative Data'!$8:$19,'Intermediate Data'!$B15,'Intermediate Data'!H$7)),INDEX('Measure Quantitative Data'!$8:$19,'Intermediate Data'!$B15,'Intermediate Data'!H$7),'Summary View'!$AA$2)</f>
        <v>0</v>
      </c>
      <c r="I15" s="115">
        <f ca="1">IF(ISNUMBER(INDEX('Measure Quantitative Data'!$8:$19,'Intermediate Data'!$B15,'Intermediate Data'!I$7)),INDEX('Measure Quantitative Data'!$8:$19,'Intermediate Data'!$B15,'Intermediate Data'!I$7),'Summary View'!$AA$2)</f>
        <v>0</v>
      </c>
      <c r="J15" s="112">
        <f ca="1">IF(ISNUMBER(INDEX('Measure Quantitative Data'!$8:$19,'Intermediate Data'!$B15,'Intermediate Data'!J$7)),INDEX('Measure Quantitative Data'!$8:$19,'Intermediate Data'!$B15,'Intermediate Data'!J$7),'Summary View'!$AA$2)</f>
        <v>0</v>
      </c>
      <c r="K15" s="116">
        <f ca="1">IF(ISNUMBER(INDEX('Measure Quantitative Data'!$8:$19,'Intermediate Data'!$B15,'Intermediate Data'!K$7)),INDEX('Measure Quantitative Data'!$8:$19,'Intermediate Data'!$B15,'Intermediate Data'!K$7),'Summary View'!$AA$2)</f>
        <v>0</v>
      </c>
      <c r="L15" s="112">
        <f ca="1">IF(ISNUMBER(INDEX('Measure Quantitative Data'!$8:$19,'Intermediate Data'!$B15,'Intermediate Data'!L$7)),INDEX('Measure Quantitative Data'!$8:$19,'Intermediate Data'!$B15,'Intermediate Data'!L$7),'Summary View'!$AA$2)</f>
        <v>289</v>
      </c>
      <c r="M15" s="112">
        <f ca="1">IF(ISNUMBER(INDEX('Measure Quantitative Data'!$8:$19,'Intermediate Data'!$B15,'Intermediate Data'!M$7)),INDEX('Measure Quantitative Data'!$8:$19,'Intermediate Data'!$B15,'Intermediate Data'!M$7),'Summary View'!$AA$2)</f>
        <v>0</v>
      </c>
      <c r="N15" s="112">
        <f ca="1">IF(ISNUMBER(INDEX('Measure Quantitative Data'!$8:$19,'Intermediate Data'!$B15,'Intermediate Data'!N$7)),INDEX('Measure Quantitative Data'!$8:$19,'Intermediate Data'!$B15,'Intermediate Data'!N$7),'Summary View'!$AA$2)</f>
        <v>0</v>
      </c>
      <c r="O15" s="112">
        <f ca="1">IF(ISNUMBER(INDEX('Measure Quantitative Data'!$8:$19,'Intermediate Data'!$B15,'Intermediate Data'!O$7)),INDEX('Measure Quantitative Data'!$8:$19,'Intermediate Data'!$B15,'Intermediate Data'!O$7),'Summary View'!$AA$2)</f>
        <v>0</v>
      </c>
      <c r="P15" s="162">
        <f ca="1">IF(ISNUMBER(INDEX('Measure Quantitative Data'!$8:$19,'Intermediate Data'!$B15,'Intermediate Data'!P$7)),INDEX('Measure Quantitative Data'!$8:$19,'Intermediate Data'!$B15,'Intermediate Data'!P$7),'Summary View'!$AA$2)</f>
        <v>59</v>
      </c>
      <c r="Q15" s="162">
        <f ca="1">IF(ISNUMBER(INDEX('Measure Quantitative Data'!$8:$19,'Intermediate Data'!$B15,'Intermediate Data'!Q$7)),INDEX('Measure Quantitative Data'!$8:$19,'Intermediate Data'!$B15,'Intermediate Data'!Q$7),'Summary View'!$AA$2)</f>
        <v>1E-4</v>
      </c>
      <c r="R15" s="162">
        <f ca="1">IF(ISNUMBER(INDEX('Measure Quantitative Data'!$8:$19,'Intermediate Data'!$B15,'Intermediate Data'!R$7)),INDEX('Measure Quantitative Data'!$8:$19,'Intermediate Data'!$B15,'Intermediate Data'!R$7),'Summary View'!$AA$2)</f>
        <v>16</v>
      </c>
      <c r="S15" s="112">
        <f ca="1">IF(ISNUMBER(INDEX('Measure Quantitative Data'!$8:$19,'Intermediate Data'!$B15,'Intermediate Data'!S$7)),INDEX('Measure Quantitative Data'!$8:$19,'Intermediate Data'!$B15,'Intermediate Data'!S$7),'Summary View'!$AA$2)</f>
        <v>0</v>
      </c>
      <c r="T15" s="112">
        <v>0</v>
      </c>
    </row>
    <row r="16" spans="1:24" x14ac:dyDescent="0.2">
      <c r="A16">
        <v>9</v>
      </c>
      <c r="B16" s="112">
        <f>MATCH($A16,'Measure Quantitative Data'!$B$8:$B$19,0)</f>
        <v>9</v>
      </c>
      <c r="C16" s="112" t="str">
        <f>INDEX('Measure Quantitative Data'!$B$8:$C$19,'Intermediate Data'!B16,2)</f>
        <v>ENERGY STAR Vented electric, compact (240V) less than 4.4 cu-ft capacity</v>
      </c>
      <c r="D16" s="115">
        <f ca="1">IF(ISNUMBER(INDEX('Measure Quantitative Data'!$8:$19,'Intermediate Data'!$B16,'Intermediate Data'!D$7)),INDEX('Measure Quantitative Data'!$8:$19,'Intermediate Data'!$B16,'Intermediate Data'!D$7),'Summary View'!$AA$2)</f>
        <v>0</v>
      </c>
      <c r="E16" s="115">
        <f ca="1">IF(ISNUMBER(INDEX('Measure Quantitative Data'!$8:$19,'Intermediate Data'!$B16,'Intermediate Data'!E$7)),INDEX('Measure Quantitative Data'!$8:$19,'Intermediate Data'!$B16,'Intermediate Data'!E$7),'Summary View'!$AA$2)</f>
        <v>0</v>
      </c>
      <c r="F16" s="115">
        <f ca="1">IF(ISNUMBER(INDEX('Measure Quantitative Data'!$8:$19,'Intermediate Data'!$B16,'Intermediate Data'!F$7)),INDEX('Measure Quantitative Data'!$8:$19,'Intermediate Data'!$B16,'Intermediate Data'!F$7),'Summary View'!$AA$2)</f>
        <v>0</v>
      </c>
      <c r="G16" s="115"/>
      <c r="H16" s="115">
        <f ca="1">IF(ISNUMBER(INDEX('Measure Quantitative Data'!$8:$19,'Intermediate Data'!$B16,'Intermediate Data'!H$7)),INDEX('Measure Quantitative Data'!$8:$19,'Intermediate Data'!$B16,'Intermediate Data'!H$7),'Summary View'!$AA$2)</f>
        <v>0</v>
      </c>
      <c r="I16" s="115">
        <f ca="1">IF(ISNUMBER(INDEX('Measure Quantitative Data'!$8:$19,'Intermediate Data'!$B16,'Intermediate Data'!I$7)),INDEX('Measure Quantitative Data'!$8:$19,'Intermediate Data'!$B16,'Intermediate Data'!I$7),'Summary View'!$AA$2)</f>
        <v>0</v>
      </c>
      <c r="J16" s="112">
        <f ca="1">IF(ISNUMBER(INDEX('Measure Quantitative Data'!$8:$19,'Intermediate Data'!$B16,'Intermediate Data'!J$7)),INDEX('Measure Quantitative Data'!$8:$19,'Intermediate Data'!$B16,'Intermediate Data'!J$7),'Summary View'!$AA$2)</f>
        <v>0</v>
      </c>
      <c r="K16" s="116">
        <f ca="1">IF(ISNUMBER(INDEX('Measure Quantitative Data'!$8:$19,'Intermediate Data'!$B16,'Intermediate Data'!K$7)),INDEX('Measure Quantitative Data'!$8:$19,'Intermediate Data'!$B16,'Intermediate Data'!K$7),'Summary View'!$AA$2)</f>
        <v>0</v>
      </c>
      <c r="L16" s="112">
        <f ca="1">IF(ISNUMBER(INDEX('Measure Quantitative Data'!$8:$19,'Intermediate Data'!$B16,'Intermediate Data'!L$7)),INDEX('Measure Quantitative Data'!$8:$19,'Intermediate Data'!$B16,'Intermediate Data'!L$7),'Summary View'!$AA$2)</f>
        <v>322</v>
      </c>
      <c r="M16" s="112">
        <f ca="1">IF(ISNUMBER(INDEX('Measure Quantitative Data'!$8:$19,'Intermediate Data'!$B16,'Intermediate Data'!M$7)),INDEX('Measure Quantitative Data'!$8:$19,'Intermediate Data'!$B16,'Intermediate Data'!M$7),'Summary View'!$AA$2)</f>
        <v>0</v>
      </c>
      <c r="N16" s="112">
        <f ca="1">IF(ISNUMBER(INDEX('Measure Quantitative Data'!$8:$19,'Intermediate Data'!$B16,'Intermediate Data'!N$7)),INDEX('Measure Quantitative Data'!$8:$19,'Intermediate Data'!$B16,'Intermediate Data'!N$7),'Summary View'!$AA$2)</f>
        <v>0</v>
      </c>
      <c r="O16" s="112">
        <f ca="1">IF(ISNUMBER(INDEX('Measure Quantitative Data'!$8:$19,'Intermediate Data'!$B16,'Intermediate Data'!O$7)),INDEX('Measure Quantitative Data'!$8:$19,'Intermediate Data'!$B16,'Intermediate Data'!O$7),'Summary View'!$AA$2)</f>
        <v>0</v>
      </c>
      <c r="P16" s="162">
        <f ca="1">IF(ISNUMBER(INDEX('Measure Quantitative Data'!$8:$19,'Intermediate Data'!$B16,'Intermediate Data'!P$7)),INDEX('Measure Quantitative Data'!$8:$19,'Intermediate Data'!$B16,'Intermediate Data'!P$7),'Summary View'!$AA$2)</f>
        <v>65</v>
      </c>
      <c r="Q16" s="162">
        <f ca="1">IF(ISNUMBER(INDEX('Measure Quantitative Data'!$8:$19,'Intermediate Data'!$B16,'Intermediate Data'!Q$7)),INDEX('Measure Quantitative Data'!$8:$19,'Intermediate Data'!$B16,'Intermediate Data'!Q$7),'Summary View'!$AA$2)</f>
        <v>1E-4</v>
      </c>
      <c r="R16" s="162">
        <f ca="1">IF(ISNUMBER(INDEX('Measure Quantitative Data'!$8:$19,'Intermediate Data'!$B16,'Intermediate Data'!R$7)),INDEX('Measure Quantitative Data'!$8:$19,'Intermediate Data'!$B16,'Intermediate Data'!R$7),'Summary View'!$AA$2)</f>
        <v>18</v>
      </c>
      <c r="S16" s="112">
        <f ca="1">IF(ISNUMBER(INDEX('Measure Quantitative Data'!$8:$19,'Intermediate Data'!$B16,'Intermediate Data'!S$7)),INDEX('Measure Quantitative Data'!$8:$19,'Intermediate Data'!$B16,'Intermediate Data'!S$7),'Summary View'!$AA$2)</f>
        <v>0</v>
      </c>
      <c r="T16" s="112">
        <v>0</v>
      </c>
    </row>
    <row r="17" spans="1:20" x14ac:dyDescent="0.2">
      <c r="A17">
        <v>10</v>
      </c>
      <c r="B17" s="112">
        <f>MATCH($A17,'Measure Quantitative Data'!$B$8:$B$19,0)</f>
        <v>10</v>
      </c>
      <c r="C17" s="112" t="str">
        <f>INDEX('Measure Quantitative Data'!$B$8:$C$19,'Intermediate Data'!B17,2)</f>
        <v>ENERGY STAR Ventless electric, compact (240V) less than 4.4 cu-ft capacity</v>
      </c>
      <c r="D17" s="115">
        <f ca="1">IF(ISNUMBER(INDEX('Measure Quantitative Data'!$8:$19,'Intermediate Data'!$B17,'Intermediate Data'!D$7)),INDEX('Measure Quantitative Data'!$8:$19,'Intermediate Data'!$B17,'Intermediate Data'!D$7),'Summary View'!$AA$2)</f>
        <v>0</v>
      </c>
      <c r="E17" s="115">
        <f ca="1">IF(ISNUMBER(INDEX('Measure Quantitative Data'!$8:$19,'Intermediate Data'!$B17,'Intermediate Data'!E$7)),INDEX('Measure Quantitative Data'!$8:$19,'Intermediate Data'!$B17,'Intermediate Data'!E$7),'Summary View'!$AA$2)</f>
        <v>0</v>
      </c>
      <c r="F17" s="115">
        <f ca="1">IF(ISNUMBER(INDEX('Measure Quantitative Data'!$8:$19,'Intermediate Data'!$B17,'Intermediate Data'!F$7)),INDEX('Measure Quantitative Data'!$8:$19,'Intermediate Data'!$B17,'Intermediate Data'!F$7),'Summary View'!$AA$2)</f>
        <v>0</v>
      </c>
      <c r="G17" s="115"/>
      <c r="H17" s="115">
        <f ca="1">IF(ISNUMBER(INDEX('Measure Quantitative Data'!$8:$19,'Intermediate Data'!$B17,'Intermediate Data'!H$7)),INDEX('Measure Quantitative Data'!$8:$19,'Intermediate Data'!$B17,'Intermediate Data'!H$7),'Summary View'!$AA$2)</f>
        <v>0</v>
      </c>
      <c r="I17" s="115">
        <f ca="1">IF(ISNUMBER(INDEX('Measure Quantitative Data'!$8:$19,'Intermediate Data'!$B17,'Intermediate Data'!I$7)),INDEX('Measure Quantitative Data'!$8:$19,'Intermediate Data'!$B17,'Intermediate Data'!I$7),'Summary View'!$AA$2)</f>
        <v>0</v>
      </c>
      <c r="J17" s="112">
        <f ca="1">IF(ISNUMBER(INDEX('Measure Quantitative Data'!$8:$19,'Intermediate Data'!$B17,'Intermediate Data'!J$7)),INDEX('Measure Quantitative Data'!$8:$19,'Intermediate Data'!$B17,'Intermediate Data'!J$7),'Summary View'!$AA$2)</f>
        <v>0</v>
      </c>
      <c r="K17" s="116">
        <f ca="1">IF(ISNUMBER(INDEX('Measure Quantitative Data'!$8:$19,'Intermediate Data'!$B17,'Intermediate Data'!K$7)),INDEX('Measure Quantitative Data'!$8:$19,'Intermediate Data'!$B17,'Intermediate Data'!K$7),'Summary View'!$AA$2)</f>
        <v>0</v>
      </c>
      <c r="L17" s="112">
        <f ca="1">IF(ISNUMBER(INDEX('Measure Quantitative Data'!$8:$19,'Intermediate Data'!$B17,'Intermediate Data'!L$7)),INDEX('Measure Quantitative Data'!$8:$19,'Intermediate Data'!$B17,'Intermediate Data'!L$7),'Summary View'!$AA$2)</f>
        <v>355.2</v>
      </c>
      <c r="M17" s="112">
        <f ca="1">IF(ISNUMBER(INDEX('Measure Quantitative Data'!$8:$19,'Intermediate Data'!$B17,'Intermediate Data'!M$7)),INDEX('Measure Quantitative Data'!$8:$19,'Intermediate Data'!$B17,'Intermediate Data'!M$7),'Summary View'!$AA$2)</f>
        <v>0</v>
      </c>
      <c r="N17" s="112">
        <f ca="1">IF(ISNUMBER(INDEX('Measure Quantitative Data'!$8:$19,'Intermediate Data'!$B17,'Intermediate Data'!N$7)),INDEX('Measure Quantitative Data'!$8:$19,'Intermediate Data'!$B17,'Intermediate Data'!N$7),'Summary View'!$AA$2)</f>
        <v>0</v>
      </c>
      <c r="O17" s="112">
        <f ca="1">IF(ISNUMBER(INDEX('Measure Quantitative Data'!$8:$19,'Intermediate Data'!$B17,'Intermediate Data'!O$7)),INDEX('Measure Quantitative Data'!$8:$19,'Intermediate Data'!$B17,'Intermediate Data'!O$7),'Summary View'!$AA$2)</f>
        <v>0</v>
      </c>
      <c r="P17" s="162">
        <f ca="1">IF(ISNUMBER(INDEX('Measure Quantitative Data'!$8:$19,'Intermediate Data'!$B17,'Intermediate Data'!P$7)),INDEX('Measure Quantitative Data'!$8:$19,'Intermediate Data'!$B17,'Intermediate Data'!P$7),'Summary View'!$AA$2)</f>
        <v>82</v>
      </c>
      <c r="Q17" s="162">
        <f ca="1">IF(ISNUMBER(INDEX('Measure Quantitative Data'!$8:$19,'Intermediate Data'!$B17,'Intermediate Data'!Q$7)),INDEX('Measure Quantitative Data'!$8:$19,'Intermediate Data'!$B17,'Intermediate Data'!Q$7),'Summary View'!$AA$2)</f>
        <v>1E-4</v>
      </c>
      <c r="R17" s="162">
        <f ca="1">IF(ISNUMBER(INDEX('Measure Quantitative Data'!$8:$19,'Intermediate Data'!$B17,'Intermediate Data'!R$7)),INDEX('Measure Quantitative Data'!$8:$19,'Intermediate Data'!$B17,'Intermediate Data'!R$7),'Summary View'!$AA$2)</f>
        <v>16.800000000000011</v>
      </c>
      <c r="S17" s="112">
        <f ca="1">IF(ISNUMBER(INDEX('Measure Quantitative Data'!$8:$19,'Intermediate Data'!$B17,'Intermediate Data'!S$7)),INDEX('Measure Quantitative Data'!$8:$19,'Intermediate Data'!$B17,'Intermediate Data'!S$7),'Summary View'!$AA$2)</f>
        <v>0</v>
      </c>
      <c r="T17" s="112">
        <v>0</v>
      </c>
    </row>
    <row r="18" spans="1:20" x14ac:dyDescent="0.2">
      <c r="A18">
        <v>11</v>
      </c>
      <c r="B18" s="112">
        <f>MATCH($A18,'Measure Quantitative Data'!$B$8:$B$19,0)</f>
        <v>11</v>
      </c>
      <c r="C18" s="112" t="str">
        <f>INDEX('Measure Quantitative Data'!$B$8:$C$19,'Intermediate Data'!B18,2)</f>
        <v>Vented Gas</v>
      </c>
      <c r="D18" s="115">
        <f ca="1">IF(ISNUMBER(INDEX('Measure Quantitative Data'!$8:$19,'Intermediate Data'!$B18,'Intermediate Data'!D$7)),INDEX('Measure Quantitative Data'!$8:$19,'Intermediate Data'!$B18,'Intermediate Data'!D$7),'Summary View'!$AA$2)</f>
        <v>0.28999999999999998</v>
      </c>
      <c r="E18" s="115">
        <f ca="1">IF(ISNUMBER(INDEX('Measure Quantitative Data'!$8:$19,'Intermediate Data'!$B18,'Intermediate Data'!E$7)),INDEX('Measure Quantitative Data'!$8:$19,'Intermediate Data'!$B18,'Intermediate Data'!E$7),'Summary View'!$AA$2)</f>
        <v>0.51</v>
      </c>
      <c r="F18" s="115">
        <f ca="1">IF(ISNUMBER(INDEX('Measure Quantitative Data'!$8:$19,'Intermediate Data'!$B18,'Intermediate Data'!F$7)),INDEX('Measure Quantitative Data'!$8:$19,'Intermediate Data'!$B18,'Intermediate Data'!F$7),'Summary View'!$AA$2)</f>
        <v>0.67</v>
      </c>
      <c r="G18" s="115"/>
      <c r="H18" s="115">
        <f ca="1">IF(ISNUMBER(INDEX('Measure Quantitative Data'!$8:$19,'Intermediate Data'!$B18,'Intermediate Data'!H$7)),INDEX('Measure Quantitative Data'!$8:$19,'Intermediate Data'!$B18,'Intermediate Data'!H$7),'Summary View'!$AA$2)</f>
        <v>0.78</v>
      </c>
      <c r="I18" s="115">
        <f ca="1">IF(ISNUMBER(INDEX('Measure Quantitative Data'!$8:$19,'Intermediate Data'!$B18,'Intermediate Data'!I$7)),INDEX('Measure Quantitative Data'!$8:$19,'Intermediate Data'!$B18,'Intermediate Data'!I$7),'Summary View'!$AA$2)</f>
        <v>0.48</v>
      </c>
      <c r="J18" s="112">
        <f ca="1">IF(ISNUMBER(INDEX('Measure Quantitative Data'!$8:$19,'Intermediate Data'!$B18,'Intermediate Data'!J$7)),INDEX('Measure Quantitative Data'!$8:$19,'Intermediate Data'!$B18,'Intermediate Data'!J$7),'Summary View'!$AA$2)</f>
        <v>149</v>
      </c>
      <c r="K18" s="116">
        <f ca="1">IF(ISNUMBER(INDEX('Measure Quantitative Data'!$8:$19,'Intermediate Data'!$B18,'Intermediate Data'!K$7)),INDEX('Measure Quantitative Data'!$8:$19,'Intermediate Data'!$B18,'Intermediate Data'!K$7),'Summary View'!$AA$2)</f>
        <v>1011.882882882883</v>
      </c>
      <c r="L18" s="112">
        <f ca="1">IF(ISNUMBER(INDEX('Measure Quantitative Data'!$8:$19,'Intermediate Data'!$B18,'Intermediate Data'!L$7)),INDEX('Measure Quantitative Data'!$8:$19,'Intermediate Data'!$B18,'Intermediate Data'!L$7),'Summary View'!$AA$2)</f>
        <v>29.8</v>
      </c>
      <c r="M18" s="112">
        <f ca="1">IF(ISNUMBER(INDEX('Measure Quantitative Data'!$8:$19,'Intermediate Data'!$B18,'Intermediate Data'!M$7)),INDEX('Measure Quantitative Data'!$8:$19,'Intermediate Data'!$B18,'Intermediate Data'!M$7),'Summary View'!$AA$2)</f>
        <v>856.25</v>
      </c>
      <c r="N18" s="112">
        <f ca="1">IF(ISNUMBER(INDEX('Measure Quantitative Data'!$8:$19,'Intermediate Data'!$B18,'Intermediate Data'!N$7)),INDEX('Measure Quantitative Data'!$8:$19,'Intermediate Data'!$B18,'Intermediate Data'!N$7),'Summary View'!$AA$2)</f>
        <v>0</v>
      </c>
      <c r="O18" s="112">
        <f ca="1">IF(ISNUMBER(INDEX('Measure Quantitative Data'!$8:$19,'Intermediate Data'!$B18,'Intermediate Data'!O$7)),INDEX('Measure Quantitative Data'!$8:$19,'Intermediate Data'!$B18,'Intermediate Data'!O$7),'Summary View'!$AA$2)</f>
        <v>24.5</v>
      </c>
      <c r="P18" s="162">
        <f ca="1">IF(ISNUMBER(INDEX('Measure Quantitative Data'!$8:$19,'Intermediate Data'!$B18,'Intermediate Data'!P$7)),INDEX('Measure Quantitative Data'!$8:$19,'Intermediate Data'!$B18,'Intermediate Data'!P$7),'Summary View'!$AA$2)</f>
        <v>1.0000000000000001E-5</v>
      </c>
      <c r="Q18" s="162">
        <f ca="1">IF(ISNUMBER(INDEX('Measure Quantitative Data'!$8:$19,'Intermediate Data'!$B18,'Intermediate Data'!Q$7)),INDEX('Measure Quantitative Data'!$8:$19,'Intermediate Data'!$B18,'Intermediate Data'!Q$7),'Summary View'!$AA$2)</f>
        <v>1.0000000000000001E-5</v>
      </c>
      <c r="R18" s="162">
        <f ca="1">IF(ISNUMBER(INDEX('Measure Quantitative Data'!$8:$19,'Intermediate Data'!$B18,'Intermediate Data'!R$7)),INDEX('Measure Quantitative Data'!$8:$19,'Intermediate Data'!$B18,'Intermediate Data'!R$7),'Summary View'!$AA$2)</f>
        <v>0</v>
      </c>
      <c r="S18" s="112">
        <f ca="1">IF(ISNUMBER(INDEX('Measure Quantitative Data'!$8:$19,'Intermediate Data'!$B18,'Intermediate Data'!S$7)),INDEX('Measure Quantitative Data'!$8:$19,'Intermediate Data'!$B18,'Intermediate Data'!S$7),'Summary View'!$AA$2)</f>
        <v>0</v>
      </c>
      <c r="T18" s="112">
        <v>1</v>
      </c>
    </row>
    <row r="19" spans="1:20" x14ac:dyDescent="0.2">
      <c r="A19">
        <v>12</v>
      </c>
      <c r="B19" s="112">
        <f>MATCH($A19,'Measure Quantitative Data'!$B$8:$B$19,0)</f>
        <v>12</v>
      </c>
      <c r="C19" s="112" t="str">
        <f>INDEX('Measure Quantitative Data'!$B$8:$C$19,'Intermediate Data'!B19,2)</f>
        <v>ENERGY STAR Vented Gas</v>
      </c>
      <c r="D19" s="115">
        <f ca="1">IF(ISNUMBER(INDEX('Measure Quantitative Data'!$8:$19,'Intermediate Data'!$B19,'Intermediate Data'!D$7)),INDEX('Measure Quantitative Data'!$8:$19,'Intermediate Data'!$B19,'Intermediate Data'!D$7),'Summary View'!$AA$2)</f>
        <v>0</v>
      </c>
      <c r="E19" s="115">
        <f ca="1">IF(ISNUMBER(INDEX('Measure Quantitative Data'!$8:$19,'Intermediate Data'!$B19,'Intermediate Data'!E$7)),INDEX('Measure Quantitative Data'!$8:$19,'Intermediate Data'!$B19,'Intermediate Data'!E$7),'Summary View'!$AA$2)</f>
        <v>0</v>
      </c>
      <c r="F19" s="115">
        <f ca="1">IF(ISNUMBER(INDEX('Measure Quantitative Data'!$8:$19,'Intermediate Data'!$B19,'Intermediate Data'!F$7)),INDEX('Measure Quantitative Data'!$8:$19,'Intermediate Data'!$B19,'Intermediate Data'!F$7),'Summary View'!$AA$2)</f>
        <v>0</v>
      </c>
      <c r="G19" s="115"/>
      <c r="H19" s="115">
        <f ca="1">IF(ISNUMBER(INDEX('Measure Quantitative Data'!$8:$19,'Intermediate Data'!$B19,'Intermediate Data'!H$7)),INDEX('Measure Quantitative Data'!$8:$19,'Intermediate Data'!$B19,'Intermediate Data'!H$7),'Summary View'!$AA$2)</f>
        <v>0</v>
      </c>
      <c r="I19" s="115">
        <f ca="1">IF(ISNUMBER(INDEX('Measure Quantitative Data'!$8:$19,'Intermediate Data'!$B19,'Intermediate Data'!I$7)),INDEX('Measure Quantitative Data'!$8:$19,'Intermediate Data'!$B19,'Intermediate Data'!I$7),'Summary View'!$AA$2)</f>
        <v>0</v>
      </c>
      <c r="J19" s="112">
        <f ca="1">IF(ISNUMBER(INDEX('Measure Quantitative Data'!$8:$19,'Intermediate Data'!$B19,'Intermediate Data'!J$7)),INDEX('Measure Quantitative Data'!$8:$19,'Intermediate Data'!$B19,'Intermediate Data'!J$7),'Summary View'!$AA$2)</f>
        <v>8</v>
      </c>
      <c r="K19" s="116">
        <f ca="1">IF(ISNUMBER(INDEX('Measure Quantitative Data'!$8:$19,'Intermediate Data'!$B19,'Intermediate Data'!K$7)),INDEX('Measure Quantitative Data'!$8:$19,'Intermediate Data'!$B19,'Intermediate Data'!K$7),'Summary View'!$AA$2)</f>
        <v>1105.8687500000001</v>
      </c>
      <c r="L19" s="112">
        <f ca="1">IF(ISNUMBER(INDEX('Measure Quantitative Data'!$8:$19,'Intermediate Data'!$B19,'Intermediate Data'!L$7)),INDEX('Measure Quantitative Data'!$8:$19,'Intermediate Data'!$B19,'Intermediate Data'!L$7),'Summary View'!$AA$2)</f>
        <v>28.295000000000002</v>
      </c>
      <c r="M19" s="112">
        <f ca="1">IF(ISNUMBER(INDEX('Measure Quantitative Data'!$8:$19,'Intermediate Data'!$B19,'Intermediate Data'!M$7)),INDEX('Measure Quantitative Data'!$8:$19,'Intermediate Data'!$B19,'Intermediate Data'!M$7),'Summary View'!$AA$2)</f>
        <v>685</v>
      </c>
      <c r="N19" s="112">
        <f ca="1">IF(ISNUMBER(INDEX('Measure Quantitative Data'!$8:$19,'Intermediate Data'!$B19,'Intermediate Data'!N$7)),INDEX('Measure Quantitative Data'!$8:$19,'Intermediate Data'!$B19,'Intermediate Data'!N$7),'Summary View'!$AA$2)</f>
        <v>0</v>
      </c>
      <c r="O19" s="112">
        <f ca="1">IF(ISNUMBER(INDEX('Measure Quantitative Data'!$8:$19,'Intermediate Data'!$B19,'Intermediate Data'!O$7)),INDEX('Measure Quantitative Data'!$8:$19,'Intermediate Data'!$B19,'Intermediate Data'!O$7),'Summary View'!$AA$2)</f>
        <v>23.279999999999994</v>
      </c>
      <c r="P19" s="162">
        <f ca="1">IF(ISNUMBER(INDEX('Measure Quantitative Data'!$8:$19,'Intermediate Data'!$B19,'Intermediate Data'!P$7)),INDEX('Measure Quantitative Data'!$8:$19,'Intermediate Data'!$B19,'Intermediate Data'!P$7),'Summary View'!$AA$2)</f>
        <v>30</v>
      </c>
      <c r="Q19" s="162">
        <f ca="1">IF(ISNUMBER(INDEX('Measure Quantitative Data'!$8:$19,'Intermediate Data'!$B19,'Intermediate Data'!Q$7)),INDEX('Measure Quantitative Data'!$8:$19,'Intermediate Data'!$B19,'Intermediate Data'!Q$7),'Summary View'!$AA$2)</f>
        <v>0.54</v>
      </c>
      <c r="R19" s="162">
        <f ca="1">IF(ISNUMBER(INDEX('Measure Quantitative Data'!$8:$19,'Intermediate Data'!$B19,'Intermediate Data'!R$7)),INDEX('Measure Quantitative Data'!$8:$19,'Intermediate Data'!$B19,'Intermediate Data'!R$7),'Summary View'!$AA$2)</f>
        <v>1.504999999999999</v>
      </c>
      <c r="S19" s="112">
        <f ca="1">IF(ISNUMBER(INDEX('Measure Quantitative Data'!$8:$19,'Intermediate Data'!$B19,'Intermediate Data'!S$7)),INDEX('Measure Quantitative Data'!$8:$19,'Intermediate Data'!$B19,'Intermediate Data'!S$7),'Summary View'!$AA$2)</f>
        <v>1.220000000000006</v>
      </c>
      <c r="T19" s="112">
        <v>1</v>
      </c>
    </row>
    <row r="21" spans="1:20" ht="13.5" thickBot="1" x14ac:dyDescent="0.25">
      <c r="A21" s="109" t="s">
        <v>676</v>
      </c>
      <c r="B21" s="110"/>
      <c r="C21" s="110"/>
      <c r="D21" s="110"/>
      <c r="E21" s="110"/>
    </row>
    <row r="22" spans="1:20" x14ac:dyDescent="0.2">
      <c r="B22" s="144" t="s">
        <v>797</v>
      </c>
      <c r="C22" s="144" t="s">
        <v>794</v>
      </c>
      <c r="D22" s="144" t="s">
        <v>800</v>
      </c>
      <c r="E22" s="144" t="s">
        <v>798</v>
      </c>
      <c r="I22" s="9"/>
      <c r="M22"/>
      <c r="O22" s="9"/>
      <c r="P22"/>
      <c r="T22" s="9"/>
    </row>
    <row r="23" spans="1:20" x14ac:dyDescent="0.2">
      <c r="A23" t="s">
        <v>662</v>
      </c>
      <c r="B23" s="9">
        <v>3.01</v>
      </c>
      <c r="C23" s="9">
        <v>3.73</v>
      </c>
      <c r="D23" s="9">
        <v>3.11</v>
      </c>
      <c r="E23">
        <v>3.93</v>
      </c>
      <c r="I23" s="9"/>
      <c r="M23"/>
      <c r="O23" s="9"/>
      <c r="P23"/>
      <c r="T23" s="9"/>
    </row>
    <row r="24" spans="1:20" x14ac:dyDescent="0.2">
      <c r="A24" t="s">
        <v>663</v>
      </c>
      <c r="B24" s="9">
        <v>3.13</v>
      </c>
      <c r="C24" s="9">
        <v>3.61</v>
      </c>
      <c r="D24" s="9">
        <v>3.03</v>
      </c>
      <c r="E24" s="139">
        <v>3.8</v>
      </c>
      <c r="F24" s="139"/>
      <c r="G24" s="139"/>
      <c r="H24" s="139"/>
      <c r="I24" s="139"/>
      <c r="M24"/>
      <c r="O24" s="9"/>
      <c r="P24"/>
      <c r="T24" s="9"/>
    </row>
    <row r="25" spans="1:20" x14ac:dyDescent="0.2">
      <c r="A25" t="s">
        <v>664</v>
      </c>
      <c r="B25" s="139">
        <v>2.9</v>
      </c>
      <c r="C25" s="9">
        <v>3.27</v>
      </c>
      <c r="D25" s="139">
        <v>1.9</v>
      </c>
      <c r="E25">
        <v>3.45</v>
      </c>
      <c r="I25" s="9"/>
      <c r="M25"/>
      <c r="O25" s="9"/>
      <c r="P25"/>
      <c r="T25" s="9"/>
    </row>
    <row r="26" spans="1:20" x14ac:dyDescent="0.2">
      <c r="A26" t="s">
        <v>677</v>
      </c>
      <c r="B26" s="139">
        <v>2.9</v>
      </c>
      <c r="C26" s="9">
        <v>2.5499999999999998</v>
      </c>
      <c r="D26">
        <v>2.33</v>
      </c>
      <c r="E26">
        <v>2.68</v>
      </c>
      <c r="I26" s="9"/>
      <c r="M26"/>
      <c r="O26" s="9"/>
      <c r="P26"/>
      <c r="T26" s="9"/>
    </row>
    <row r="27" spans="1:20" x14ac:dyDescent="0.2">
      <c r="A27" t="s">
        <v>66</v>
      </c>
      <c r="B27" s="9">
        <v>2.67</v>
      </c>
      <c r="C27" s="139">
        <v>3.3</v>
      </c>
      <c r="D27" s="9">
        <v>2.77</v>
      </c>
      <c r="E27">
        <v>3.48</v>
      </c>
      <c r="I27" s="9"/>
      <c r="M27"/>
      <c r="O27" s="9"/>
      <c r="P27"/>
      <c r="T27" s="9"/>
    </row>
    <row r="28" spans="1:20" s="9" customFormat="1" ht="13.5" thickBot="1" x14ac:dyDescent="0.25">
      <c r="A28" s="109" t="s">
        <v>865</v>
      </c>
      <c r="B28" s="110"/>
      <c r="C28" s="110"/>
      <c r="D28" s="110"/>
      <c r="E28" s="110"/>
    </row>
    <row r="29" spans="1:20" x14ac:dyDescent="0.2">
      <c r="B29" s="144" t="s">
        <v>713</v>
      </c>
      <c r="C29" s="144" t="s">
        <v>698</v>
      </c>
    </row>
    <row r="30" spans="1:20" x14ac:dyDescent="0.2">
      <c r="A30" t="s">
        <v>683</v>
      </c>
      <c r="B30" t="s">
        <v>680</v>
      </c>
      <c r="C30" t="s">
        <v>8</v>
      </c>
      <c r="E30"/>
      <c r="F30"/>
      <c r="H30"/>
    </row>
    <row r="31" spans="1:20" x14ac:dyDescent="0.2">
      <c r="A31" t="s">
        <v>706</v>
      </c>
      <c r="B31" t="s">
        <v>787</v>
      </c>
      <c r="C31" t="s">
        <v>869</v>
      </c>
      <c r="E31"/>
      <c r="F31"/>
      <c r="H31"/>
    </row>
    <row r="32" spans="1:20" x14ac:dyDescent="0.2">
      <c r="A32" s="9" t="s">
        <v>821</v>
      </c>
      <c r="B32" s="9" t="s">
        <v>789</v>
      </c>
      <c r="C32" t="s">
        <v>790</v>
      </c>
      <c r="E32"/>
      <c r="F32"/>
    </row>
    <row r="33" spans="1:12" s="9" customFormat="1" x14ac:dyDescent="0.2">
      <c r="A33" s="9" t="s">
        <v>822</v>
      </c>
      <c r="B33" s="9" t="s">
        <v>811</v>
      </c>
      <c r="C33"/>
    </row>
    <row r="34" spans="1:12" s="9" customFormat="1" x14ac:dyDescent="0.2">
      <c r="A34" t="s">
        <v>717</v>
      </c>
      <c r="B34" t="s">
        <v>681</v>
      </c>
      <c r="C34" t="s">
        <v>708</v>
      </c>
    </row>
    <row r="35" spans="1:12" x14ac:dyDescent="0.2">
      <c r="A35" s="9" t="s">
        <v>718</v>
      </c>
      <c r="B35" s="9"/>
      <c r="C35" s="9" t="s">
        <v>7</v>
      </c>
      <c r="E35"/>
      <c r="F35"/>
      <c r="H35"/>
    </row>
    <row r="36" spans="1:12" x14ac:dyDescent="0.2">
      <c r="A36" s="9" t="s">
        <v>861</v>
      </c>
      <c r="B36" s="9"/>
      <c r="C36" s="9" t="s">
        <v>7</v>
      </c>
      <c r="E36"/>
      <c r="F36"/>
      <c r="H36"/>
    </row>
    <row r="37" spans="1:12" s="9" customFormat="1" x14ac:dyDescent="0.2">
      <c r="A37" t="s">
        <v>879</v>
      </c>
      <c r="B37" t="s">
        <v>788</v>
      </c>
      <c r="C37" t="s">
        <v>38</v>
      </c>
    </row>
    <row r="38" spans="1:12" x14ac:dyDescent="0.2">
      <c r="A38" s="9" t="s">
        <v>880</v>
      </c>
      <c r="B38" s="9"/>
      <c r="C38" s="9" t="s">
        <v>7</v>
      </c>
      <c r="E38"/>
      <c r="F38"/>
      <c r="H38"/>
    </row>
    <row r="39" spans="1:12" x14ac:dyDescent="0.2">
      <c r="A39" t="s">
        <v>719</v>
      </c>
      <c r="B39" t="s">
        <v>801</v>
      </c>
      <c r="E39"/>
      <c r="F39"/>
      <c r="H39"/>
    </row>
    <row r="40" spans="1:12" x14ac:dyDescent="0.2">
      <c r="A40" t="s">
        <v>66</v>
      </c>
      <c r="B40" t="s">
        <v>680</v>
      </c>
      <c r="C40" t="s">
        <v>8</v>
      </c>
      <c r="E40"/>
      <c r="F40"/>
      <c r="H40"/>
    </row>
    <row r="41" spans="1:12" x14ac:dyDescent="0.2">
      <c r="A41" t="s">
        <v>707</v>
      </c>
      <c r="B41" t="s">
        <v>787</v>
      </c>
      <c r="C41" t="s">
        <v>870</v>
      </c>
      <c r="E41"/>
      <c r="F41"/>
      <c r="H41"/>
    </row>
    <row r="42" spans="1:12" x14ac:dyDescent="0.2">
      <c r="A42" t="s">
        <v>682</v>
      </c>
    </row>
    <row r="43" spans="1:12" s="9" customFormat="1" x14ac:dyDescent="0.2"/>
    <row r="44" spans="1:12" ht="13.5" thickBot="1" x14ac:dyDescent="0.25">
      <c r="A44" s="109" t="s">
        <v>841</v>
      </c>
      <c r="B44" s="110"/>
      <c r="C44" s="110"/>
      <c r="D44" s="110"/>
      <c r="E44" s="110"/>
      <c r="I44" s="9"/>
      <c r="J44" s="9"/>
      <c r="K44" s="9"/>
      <c r="L44" s="9"/>
    </row>
    <row r="45" spans="1:12" x14ac:dyDescent="0.2">
      <c r="A45" s="9" t="s">
        <v>840</v>
      </c>
      <c r="B45" s="9"/>
      <c r="C45" s="9"/>
      <c r="D45" s="9"/>
      <c r="I45" s="9"/>
      <c r="J45" s="9"/>
      <c r="K45" s="9"/>
      <c r="L45" s="9"/>
    </row>
    <row r="46" spans="1:12" x14ac:dyDescent="0.2">
      <c r="A46" s="9" t="s">
        <v>823</v>
      </c>
      <c r="B46" s="9"/>
      <c r="C46" s="9"/>
      <c r="D46" s="9"/>
      <c r="I46" s="9"/>
      <c r="J46" s="9"/>
      <c r="K46" s="9"/>
      <c r="L46" s="9"/>
    </row>
    <row r="47" spans="1:12" x14ac:dyDescent="0.2">
      <c r="A47" s="9" t="s">
        <v>824</v>
      </c>
      <c r="B47" s="9"/>
      <c r="C47" s="9"/>
      <c r="D47" s="9"/>
      <c r="I47" s="9"/>
      <c r="J47" s="9"/>
      <c r="K47" s="9"/>
      <c r="L47" s="9"/>
    </row>
    <row r="48" spans="1:12" x14ac:dyDescent="0.2">
      <c r="A48" s="9" t="s">
        <v>825</v>
      </c>
      <c r="B48" s="9"/>
      <c r="C48" s="9"/>
      <c r="D48" s="9"/>
      <c r="I48" s="9"/>
      <c r="J48" s="9"/>
      <c r="K48" s="9"/>
      <c r="L48" s="9"/>
    </row>
    <row r="49" spans="1:12" x14ac:dyDescent="0.2">
      <c r="A49" s="9" t="s">
        <v>826</v>
      </c>
      <c r="B49" s="9"/>
      <c r="C49" s="9"/>
      <c r="D49" s="9"/>
      <c r="I49" s="9"/>
      <c r="J49" s="9"/>
      <c r="K49" s="9"/>
      <c r="L49" s="9"/>
    </row>
    <row r="50" spans="1:12" x14ac:dyDescent="0.2">
      <c r="A50" s="9" t="s">
        <v>827</v>
      </c>
      <c r="B50" s="9"/>
      <c r="C50" s="9"/>
      <c r="D50" s="9"/>
      <c r="I50" s="9"/>
      <c r="J50" s="9"/>
      <c r="K50" s="9"/>
      <c r="L50" s="9"/>
    </row>
    <row r="51" spans="1:12" x14ac:dyDescent="0.2">
      <c r="A51" s="9" t="s">
        <v>828</v>
      </c>
      <c r="B51" s="9"/>
      <c r="C51" s="9"/>
      <c r="D51" s="9"/>
      <c r="I51" s="9"/>
      <c r="J51" s="9"/>
      <c r="K51" s="9"/>
      <c r="L51" s="9"/>
    </row>
    <row r="52" spans="1:12" x14ac:dyDescent="0.2">
      <c r="A52" s="9"/>
      <c r="B52" s="9"/>
      <c r="C52" s="9"/>
      <c r="D52" s="9"/>
      <c r="I52" s="9"/>
      <c r="J52" s="9"/>
      <c r="K52" s="9"/>
      <c r="L52" s="9"/>
    </row>
    <row r="53" spans="1:12" x14ac:dyDescent="0.2">
      <c r="A53" s="9" t="s">
        <v>829</v>
      </c>
      <c r="B53" s="9"/>
      <c r="C53" s="9"/>
      <c r="D53" s="9"/>
      <c r="I53" s="9"/>
      <c r="J53" s="9"/>
      <c r="K53" s="9"/>
      <c r="L53" s="9"/>
    </row>
    <row r="54" spans="1:12" x14ac:dyDescent="0.2">
      <c r="A54" s="9"/>
      <c r="B54" s="9"/>
      <c r="C54" s="9"/>
      <c r="D54" s="9"/>
      <c r="I54" s="9"/>
      <c r="J54" s="9"/>
      <c r="K54" s="9"/>
      <c r="L54" s="9"/>
    </row>
    <row r="55" spans="1:12" x14ac:dyDescent="0.2">
      <c r="A55" s="9" t="s">
        <v>830</v>
      </c>
      <c r="B55" s="9" t="s">
        <v>838</v>
      </c>
      <c r="C55" s="9"/>
      <c r="D55" s="9"/>
      <c r="I55" s="9"/>
      <c r="J55" s="9"/>
      <c r="K55" s="9"/>
      <c r="L55" s="9"/>
    </row>
    <row r="57" spans="1:12" x14ac:dyDescent="0.2">
      <c r="A57" s="383" t="s">
        <v>831</v>
      </c>
      <c r="B57" s="383"/>
      <c r="C57" s="210" t="s">
        <v>702</v>
      </c>
      <c r="D57" s="210" t="s">
        <v>703</v>
      </c>
      <c r="E57" s="210" t="s">
        <v>704</v>
      </c>
      <c r="F57" s="10" t="s">
        <v>837</v>
      </c>
    </row>
    <row r="58" spans="1:12" x14ac:dyDescent="0.2">
      <c r="A58" s="384" t="s">
        <v>832</v>
      </c>
      <c r="B58" s="210" t="s">
        <v>702</v>
      </c>
      <c r="C58" s="213">
        <v>0.78500000000000003</v>
      </c>
      <c r="D58" s="213">
        <v>8.0000000000000002E-3</v>
      </c>
      <c r="E58" s="213">
        <v>1.9E-2</v>
      </c>
      <c r="F58" s="213">
        <v>0.32600000000000001</v>
      </c>
    </row>
    <row r="59" spans="1:12" x14ac:dyDescent="0.2">
      <c r="A59" s="385"/>
      <c r="B59" s="210" t="s">
        <v>703</v>
      </c>
      <c r="C59" s="213">
        <v>0</v>
      </c>
      <c r="D59" s="213">
        <v>0.74199999999999999</v>
      </c>
      <c r="E59" s="213">
        <v>3.0000000000000001E-3</v>
      </c>
      <c r="F59" s="213">
        <v>8.1000000000000003E-2</v>
      </c>
    </row>
    <row r="60" spans="1:12" x14ac:dyDescent="0.2">
      <c r="A60" s="385"/>
      <c r="B60" s="210" t="s">
        <v>833</v>
      </c>
      <c r="C60" s="213">
        <v>3.4000000000000002E-2</v>
      </c>
      <c r="D60" s="213">
        <v>7.0000000000000007E-2</v>
      </c>
      <c r="E60" s="213">
        <v>0.74299999999999999</v>
      </c>
      <c r="F60" s="213">
        <v>0.39</v>
      </c>
    </row>
    <row r="61" spans="1:12" x14ac:dyDescent="0.2">
      <c r="A61" s="385"/>
      <c r="B61" s="210" t="s">
        <v>834</v>
      </c>
      <c r="C61" s="215">
        <v>0</v>
      </c>
      <c r="D61" s="215">
        <v>0</v>
      </c>
      <c r="E61" s="213">
        <v>2.3E-2</v>
      </c>
      <c r="F61" s="213">
        <v>8.9999999999999993E-3</v>
      </c>
    </row>
    <row r="62" spans="1:12" x14ac:dyDescent="0.2">
      <c r="A62" s="385"/>
      <c r="B62" s="210" t="s">
        <v>835</v>
      </c>
      <c r="C62" s="210"/>
      <c r="D62" s="210"/>
      <c r="E62" s="213">
        <v>2.9000000000000001E-2</v>
      </c>
      <c r="F62" s="213">
        <v>1.2E-2</v>
      </c>
    </row>
    <row r="63" spans="1:12" x14ac:dyDescent="0.2">
      <c r="A63" s="385"/>
      <c r="B63" s="210" t="s">
        <v>839</v>
      </c>
      <c r="C63" s="213">
        <v>1.2E-2</v>
      </c>
      <c r="D63" s="215">
        <v>1.7999999999999999E-2</v>
      </c>
      <c r="E63" s="213">
        <v>0.10800000000000001</v>
      </c>
      <c r="F63" s="213">
        <v>6.4000000000000001E-2</v>
      </c>
    </row>
    <row r="64" spans="1:12" x14ac:dyDescent="0.2">
      <c r="A64" s="385"/>
      <c r="B64" s="211" t="s">
        <v>836</v>
      </c>
      <c r="C64" s="213">
        <v>0.16900000000000001</v>
      </c>
      <c r="D64" s="213">
        <v>0.161</v>
      </c>
      <c r="E64" s="213">
        <v>7.3999999999999996E-2</v>
      </c>
      <c r="F64" s="213">
        <v>0.11799999999999999</v>
      </c>
    </row>
    <row r="65" spans="1:6" x14ac:dyDescent="0.2">
      <c r="A65" s="386"/>
      <c r="B65" s="210" t="s">
        <v>837</v>
      </c>
      <c r="C65" s="212">
        <v>4634082</v>
      </c>
      <c r="D65" s="212">
        <v>1230072</v>
      </c>
      <c r="E65" s="212">
        <v>4371617</v>
      </c>
      <c r="F65" s="214">
        <v>11523718</v>
      </c>
    </row>
  </sheetData>
  <mergeCells count="5">
    <mergeCell ref="M2:N2"/>
    <mergeCell ref="P2:Q2"/>
    <mergeCell ref="R2:S2"/>
    <mergeCell ref="A57:B57"/>
    <mergeCell ref="A58:A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F25"/>
  <sheetViews>
    <sheetView workbookViewId="0">
      <pane xSplit="3" ySplit="6" topLeftCell="D7" activePane="bottomRight" state="frozen"/>
      <selection pane="topRight" activeCell="D1" sqref="D1"/>
      <selection pane="bottomLeft" activeCell="A10" sqref="A10"/>
      <selection pane="bottomRight" sqref="A1:C1"/>
    </sheetView>
  </sheetViews>
  <sheetFormatPr defaultRowHeight="12.75" x14ac:dyDescent="0.2"/>
  <cols>
    <col min="1" max="1" width="8" customWidth="1"/>
    <col min="2" max="2" width="9.140625" style="9" customWidth="1"/>
    <col min="3" max="3" width="43.28515625" customWidth="1"/>
    <col min="4" max="4" width="20.7109375" style="9" customWidth="1"/>
    <col min="5" max="6" width="17.42578125" style="9" customWidth="1"/>
    <col min="7" max="9" width="15.7109375" style="9" customWidth="1"/>
    <col min="10" max="11" width="15.7109375" style="9" hidden="1" customWidth="1"/>
    <col min="12" max="15" width="15.7109375" customWidth="1"/>
    <col min="16" max="16" width="31.42578125" style="9" customWidth="1"/>
    <col min="17" max="17" width="15.7109375" style="9" customWidth="1"/>
    <col min="18" max="18" width="31.5703125" style="9" customWidth="1"/>
    <col min="19" max="19" width="15.7109375" style="9" customWidth="1"/>
    <col min="20" max="20" width="15.7109375" style="9" hidden="1" customWidth="1"/>
    <col min="21" max="31" width="15.7109375" style="9" customWidth="1"/>
    <col min="32" max="47" width="14.7109375" style="9" customWidth="1"/>
    <col min="48" max="48" width="31.42578125" customWidth="1"/>
    <col min="49" max="58" width="0" hidden="1" customWidth="1"/>
  </cols>
  <sheetData>
    <row r="1" spans="1:58" s="18" customFormat="1" ht="15" x14ac:dyDescent="0.25">
      <c r="A1" s="390" t="s">
        <v>0</v>
      </c>
      <c r="B1" s="390"/>
      <c r="C1" s="390"/>
      <c r="D1" s="391" t="s">
        <v>45</v>
      </c>
      <c r="E1" s="391"/>
      <c r="F1" s="391"/>
      <c r="G1" s="397" t="s">
        <v>38</v>
      </c>
      <c r="H1" s="397"/>
      <c r="I1" s="397"/>
      <c r="J1" s="397"/>
      <c r="K1" s="397"/>
      <c r="L1" s="397"/>
      <c r="M1" s="397"/>
      <c r="N1" s="397"/>
      <c r="O1" s="397"/>
      <c r="P1" s="397"/>
      <c r="Q1" s="392" t="s">
        <v>40</v>
      </c>
      <c r="R1" s="393"/>
      <c r="S1" s="394"/>
      <c r="T1" s="394"/>
      <c r="U1" s="395"/>
      <c r="V1" s="147"/>
      <c r="W1" s="147"/>
      <c r="X1" s="147"/>
      <c r="Y1" s="155"/>
      <c r="Z1" s="147"/>
      <c r="AA1" s="89"/>
      <c r="AB1" s="89"/>
      <c r="AC1" s="89"/>
      <c r="AD1" s="155"/>
      <c r="AE1" s="89"/>
      <c r="AF1" s="392" t="s">
        <v>781</v>
      </c>
      <c r="AG1" s="398"/>
      <c r="AH1" s="398"/>
      <c r="AI1" s="398"/>
      <c r="AJ1" s="398"/>
      <c r="AK1" s="398"/>
      <c r="AL1" s="398"/>
      <c r="AM1" s="398"/>
      <c r="AN1" s="398"/>
      <c r="AO1" s="398"/>
      <c r="AP1" s="398"/>
      <c r="AQ1" s="398"/>
      <c r="AR1" s="398"/>
      <c r="AS1" s="398"/>
      <c r="AT1" s="398"/>
      <c r="AU1" s="398"/>
      <c r="AV1" s="393"/>
      <c r="AW1" s="388" t="s">
        <v>50</v>
      </c>
      <c r="AX1" s="388"/>
      <c r="AY1" s="388"/>
      <c r="AZ1" s="388"/>
      <c r="BA1" s="388"/>
      <c r="BB1" s="388"/>
      <c r="BC1" s="388"/>
      <c r="BD1" s="388"/>
      <c r="BE1" s="388"/>
      <c r="BF1" s="388"/>
    </row>
    <row r="2" spans="1:58" s="1" customFormat="1" ht="15" x14ac:dyDescent="0.25">
      <c r="A2" s="50"/>
      <c r="B2" s="51"/>
      <c r="C2" s="52" t="s">
        <v>14</v>
      </c>
      <c r="D2" s="39">
        <v>2014</v>
      </c>
      <c r="E2" s="39">
        <v>1994</v>
      </c>
      <c r="F2" s="151">
        <v>2015</v>
      </c>
      <c r="G2" s="46">
        <v>2014</v>
      </c>
      <c r="H2" s="46">
        <v>2014</v>
      </c>
      <c r="I2" s="46">
        <v>2014</v>
      </c>
      <c r="J2" s="46"/>
      <c r="K2" s="46"/>
      <c r="L2" s="46">
        <v>2014</v>
      </c>
      <c r="M2" s="46">
        <v>2014</v>
      </c>
      <c r="N2" s="46">
        <v>2014</v>
      </c>
      <c r="O2" s="46"/>
      <c r="P2" s="46"/>
      <c r="Q2" s="54">
        <v>2014</v>
      </c>
      <c r="R2" s="54"/>
      <c r="S2" s="53">
        <v>2010</v>
      </c>
      <c r="T2" s="53"/>
      <c r="U2" s="53">
        <v>2007</v>
      </c>
      <c r="V2" s="53">
        <v>2012</v>
      </c>
      <c r="W2" s="53">
        <v>2012</v>
      </c>
      <c r="X2" s="53">
        <v>2012</v>
      </c>
      <c r="Y2" s="53">
        <v>2012</v>
      </c>
      <c r="Z2" s="53">
        <v>2012</v>
      </c>
      <c r="AA2" s="53">
        <v>2009</v>
      </c>
      <c r="AB2" s="53">
        <v>2009</v>
      </c>
      <c r="AC2" s="53">
        <v>2009</v>
      </c>
      <c r="AD2" s="53">
        <v>2009</v>
      </c>
      <c r="AE2" s="53">
        <v>2009</v>
      </c>
      <c r="AF2" s="54">
        <v>2015</v>
      </c>
      <c r="AG2" s="54">
        <v>2015</v>
      </c>
      <c r="AH2" s="54">
        <v>2015</v>
      </c>
      <c r="AI2" s="54">
        <v>2015</v>
      </c>
      <c r="AJ2" s="54">
        <v>2015</v>
      </c>
      <c r="AK2" s="54">
        <v>2015</v>
      </c>
      <c r="AL2" s="54">
        <v>2013</v>
      </c>
      <c r="AM2" s="54">
        <v>2015</v>
      </c>
      <c r="AN2" s="54">
        <v>2015</v>
      </c>
      <c r="AO2" s="54">
        <v>2015</v>
      </c>
      <c r="AP2" s="54">
        <v>2015</v>
      </c>
      <c r="AQ2" s="164">
        <v>2015</v>
      </c>
      <c r="AR2" s="54">
        <v>2015</v>
      </c>
      <c r="AS2" s="54">
        <v>2013</v>
      </c>
      <c r="AT2" s="54"/>
      <c r="AU2" s="54">
        <v>2010</v>
      </c>
      <c r="AV2" s="54"/>
      <c r="AW2" s="65"/>
      <c r="AX2" s="65"/>
      <c r="AY2" s="65"/>
      <c r="AZ2" s="65"/>
      <c r="BA2" s="65"/>
      <c r="BB2" s="65"/>
      <c r="BC2" s="65"/>
      <c r="BD2" s="65"/>
      <c r="BE2" s="65"/>
      <c r="BF2" s="65"/>
    </row>
    <row r="3" spans="1:58" s="1" customFormat="1" ht="15" x14ac:dyDescent="0.25">
      <c r="A3" s="24"/>
      <c r="B3" s="25"/>
      <c r="C3" s="23" t="s">
        <v>16</v>
      </c>
      <c r="D3" s="68" t="s">
        <v>15</v>
      </c>
      <c r="E3" s="68" t="s">
        <v>15</v>
      </c>
      <c r="F3" s="68" t="s">
        <v>15</v>
      </c>
      <c r="G3" s="69" t="s">
        <v>15</v>
      </c>
      <c r="H3" s="69" t="s">
        <v>15</v>
      </c>
      <c r="I3" s="79" t="s">
        <v>15</v>
      </c>
      <c r="J3" s="79"/>
      <c r="K3" s="79"/>
      <c r="L3" s="79" t="s">
        <v>15</v>
      </c>
      <c r="M3" s="79" t="s">
        <v>15</v>
      </c>
      <c r="N3" s="79" t="s">
        <v>15</v>
      </c>
      <c r="O3" s="79" t="s">
        <v>15</v>
      </c>
      <c r="P3" s="47"/>
      <c r="Q3" s="56" t="s">
        <v>15</v>
      </c>
      <c r="R3" s="56"/>
      <c r="S3" s="74" t="s">
        <v>15</v>
      </c>
      <c r="T3" s="55"/>
      <c r="U3" s="74" t="s">
        <v>15</v>
      </c>
      <c r="V3" s="74" t="s">
        <v>702</v>
      </c>
      <c r="W3" s="74" t="s">
        <v>703</v>
      </c>
      <c r="X3" s="74" t="s">
        <v>704</v>
      </c>
      <c r="Y3" s="156" t="s">
        <v>738</v>
      </c>
      <c r="Z3" s="74" t="s">
        <v>660</v>
      </c>
      <c r="AA3" s="143" t="s">
        <v>702</v>
      </c>
      <c r="AB3" s="143" t="s">
        <v>703</v>
      </c>
      <c r="AC3" s="143" t="s">
        <v>704</v>
      </c>
      <c r="AD3" s="156" t="s">
        <v>738</v>
      </c>
      <c r="AE3" s="94" t="s">
        <v>660</v>
      </c>
      <c r="AF3" s="158" t="s">
        <v>15</v>
      </c>
      <c r="AG3" s="158" t="s">
        <v>15</v>
      </c>
      <c r="AH3" s="236" t="s">
        <v>15</v>
      </c>
      <c r="AI3" s="236" t="s">
        <v>15</v>
      </c>
      <c r="AJ3" s="100" t="s">
        <v>15</v>
      </c>
      <c r="AK3" s="161" t="s">
        <v>15</v>
      </c>
      <c r="AL3" s="158" t="s">
        <v>15</v>
      </c>
      <c r="AM3" s="158" t="s">
        <v>15</v>
      </c>
      <c r="AN3" s="158" t="s">
        <v>15</v>
      </c>
      <c r="AO3" s="236" t="s">
        <v>15</v>
      </c>
      <c r="AP3" s="236" t="s">
        <v>15</v>
      </c>
      <c r="AQ3" s="165" t="s">
        <v>15</v>
      </c>
      <c r="AR3" s="161" t="s">
        <v>15</v>
      </c>
      <c r="AS3" s="158" t="s">
        <v>15</v>
      </c>
      <c r="AT3" s="100"/>
      <c r="AU3" s="71" t="s">
        <v>15</v>
      </c>
      <c r="AV3" s="56"/>
      <c r="AW3" s="65"/>
      <c r="AX3" s="65"/>
      <c r="AY3" s="65"/>
      <c r="AZ3" s="65"/>
      <c r="BA3" s="65"/>
      <c r="BB3" s="65"/>
      <c r="BC3" s="65"/>
      <c r="BD3" s="65"/>
      <c r="BE3" s="65"/>
      <c r="BF3" s="65"/>
    </row>
    <row r="4" spans="1:58" s="1" customFormat="1" ht="39" x14ac:dyDescent="0.25">
      <c r="A4" s="24"/>
      <c r="B4" s="25"/>
      <c r="C4" s="23" t="s">
        <v>32</v>
      </c>
      <c r="D4" s="67" t="s">
        <v>645</v>
      </c>
      <c r="E4" s="67">
        <v>8</v>
      </c>
      <c r="F4" s="67" t="s">
        <v>720</v>
      </c>
      <c r="G4" s="78" t="s">
        <v>709</v>
      </c>
      <c r="H4" s="78" t="s">
        <v>641</v>
      </c>
      <c r="I4" s="78" t="s">
        <v>642</v>
      </c>
      <c r="J4" s="48"/>
      <c r="K4" s="48"/>
      <c r="L4" s="78">
        <v>19</v>
      </c>
      <c r="M4" s="78">
        <v>20</v>
      </c>
      <c r="N4" s="78">
        <v>21</v>
      </c>
      <c r="O4" s="78" t="s">
        <v>643</v>
      </c>
      <c r="P4" s="48"/>
      <c r="Q4" s="70" t="s">
        <v>792</v>
      </c>
      <c r="R4" s="58"/>
      <c r="S4" s="57">
        <v>4</v>
      </c>
      <c r="T4" s="57"/>
      <c r="U4" s="57">
        <v>4</v>
      </c>
      <c r="V4" s="57">
        <v>27</v>
      </c>
      <c r="W4" s="57">
        <v>27</v>
      </c>
      <c r="X4" s="57">
        <v>27</v>
      </c>
      <c r="Y4" s="57">
        <v>27</v>
      </c>
      <c r="Z4" s="57">
        <v>27</v>
      </c>
      <c r="AA4" s="57">
        <v>26</v>
      </c>
      <c r="AB4" s="57">
        <v>26</v>
      </c>
      <c r="AC4" s="57">
        <v>26</v>
      </c>
      <c r="AD4" s="57">
        <v>26</v>
      </c>
      <c r="AE4" s="57">
        <v>26</v>
      </c>
      <c r="AF4" s="70" t="s">
        <v>751</v>
      </c>
      <c r="AG4" s="70" t="s">
        <v>751</v>
      </c>
      <c r="AH4" s="70">
        <v>37</v>
      </c>
      <c r="AI4" s="70">
        <v>37</v>
      </c>
      <c r="AJ4" s="70">
        <v>17</v>
      </c>
      <c r="AK4" s="70">
        <v>17</v>
      </c>
      <c r="AL4" s="70">
        <v>25</v>
      </c>
      <c r="AM4" s="70" t="s">
        <v>878</v>
      </c>
      <c r="AN4" s="70" t="s">
        <v>878</v>
      </c>
      <c r="AO4" s="70">
        <v>37</v>
      </c>
      <c r="AP4" s="70">
        <v>37</v>
      </c>
      <c r="AQ4" s="70">
        <v>17</v>
      </c>
      <c r="AR4" s="70">
        <v>17</v>
      </c>
      <c r="AS4" s="70">
        <v>25</v>
      </c>
      <c r="AT4" s="70"/>
      <c r="AU4" s="58">
        <v>3</v>
      </c>
      <c r="AV4" s="58"/>
      <c r="AW4" s="65"/>
      <c r="AX4" s="65"/>
      <c r="AY4" s="65"/>
      <c r="AZ4" s="65"/>
      <c r="BA4" s="65"/>
      <c r="BB4" s="65"/>
      <c r="BC4" s="65"/>
      <c r="BD4" s="65"/>
      <c r="BE4" s="65"/>
      <c r="BF4" s="65"/>
    </row>
    <row r="5" spans="1:58" s="45" customFormat="1" ht="48" customHeight="1" x14ac:dyDescent="0.2">
      <c r="A5" s="42"/>
      <c r="B5" s="43"/>
      <c r="C5" s="41" t="s">
        <v>17</v>
      </c>
      <c r="D5" s="44" t="s">
        <v>721</v>
      </c>
      <c r="E5" s="44"/>
      <c r="F5" s="44"/>
      <c r="G5" s="49"/>
      <c r="H5" s="49"/>
      <c r="I5" s="396"/>
      <c r="J5" s="396"/>
      <c r="K5" s="396"/>
      <c r="L5" s="396" t="s">
        <v>722</v>
      </c>
      <c r="M5" s="396"/>
      <c r="N5" s="396"/>
      <c r="O5" s="396"/>
      <c r="P5" s="49"/>
      <c r="Q5" s="62" t="s">
        <v>42</v>
      </c>
      <c r="R5" s="62"/>
      <c r="S5" s="148"/>
      <c r="T5" s="64" t="s">
        <v>43</v>
      </c>
      <c r="U5" s="63"/>
      <c r="V5" s="63"/>
      <c r="W5" s="63"/>
      <c r="X5" s="63"/>
      <c r="Y5" s="63"/>
      <c r="Z5" s="63"/>
      <c r="AA5" s="63"/>
      <c r="AB5" s="63"/>
      <c r="AC5" s="63"/>
      <c r="AD5" s="63"/>
      <c r="AE5" s="63"/>
      <c r="AF5" s="399" t="s">
        <v>814</v>
      </c>
      <c r="AG5" s="387"/>
      <c r="AH5" s="387" t="s">
        <v>897</v>
      </c>
      <c r="AI5" s="387"/>
      <c r="AJ5" s="387" t="s">
        <v>813</v>
      </c>
      <c r="AK5" s="387"/>
      <c r="AL5" s="157" t="s">
        <v>742</v>
      </c>
      <c r="AM5" s="157" t="s">
        <v>814</v>
      </c>
      <c r="AN5" s="157" t="s">
        <v>814</v>
      </c>
      <c r="AO5" s="387" t="s">
        <v>896</v>
      </c>
      <c r="AP5" s="387"/>
      <c r="AQ5" s="387" t="s">
        <v>813</v>
      </c>
      <c r="AR5" s="387"/>
      <c r="AS5" s="157"/>
      <c r="AT5" s="157"/>
      <c r="AU5" s="59" t="s">
        <v>49</v>
      </c>
      <c r="AV5" s="59"/>
      <c r="AW5" s="389" t="s">
        <v>51</v>
      </c>
      <c r="AX5" s="389"/>
      <c r="AY5" s="389"/>
      <c r="AZ5" s="389"/>
      <c r="BA5" s="389"/>
      <c r="BB5" s="389"/>
      <c r="BC5" s="389"/>
      <c r="BD5" s="389"/>
      <c r="BE5" s="389"/>
      <c r="BF5" s="389"/>
    </row>
    <row r="6" spans="1:58" s="37" customFormat="1" ht="51" x14ac:dyDescent="0.2">
      <c r="A6" s="35" t="s">
        <v>5</v>
      </c>
      <c r="B6" s="35" t="s">
        <v>18</v>
      </c>
      <c r="C6" s="35" t="s">
        <v>0</v>
      </c>
      <c r="D6" s="36" t="s">
        <v>33</v>
      </c>
      <c r="E6" s="36" t="s">
        <v>647</v>
      </c>
      <c r="F6" s="36" t="s">
        <v>746</v>
      </c>
      <c r="G6" s="40" t="s">
        <v>653</v>
      </c>
      <c r="H6" s="40" t="s">
        <v>35</v>
      </c>
      <c r="I6" s="40" t="s">
        <v>36</v>
      </c>
      <c r="J6" s="40" t="s">
        <v>37</v>
      </c>
      <c r="K6" s="40" t="s">
        <v>26</v>
      </c>
      <c r="L6" s="40" t="s">
        <v>650</v>
      </c>
      <c r="M6" s="40" t="s">
        <v>648</v>
      </c>
      <c r="N6" s="40" t="s">
        <v>649</v>
      </c>
      <c r="O6" s="40" t="s">
        <v>651</v>
      </c>
      <c r="P6" s="40" t="s">
        <v>39</v>
      </c>
      <c r="Q6" s="61" t="s">
        <v>34</v>
      </c>
      <c r="R6" s="61" t="s">
        <v>41</v>
      </c>
      <c r="S6" s="60" t="s">
        <v>77</v>
      </c>
      <c r="T6" s="60" t="s">
        <v>27</v>
      </c>
      <c r="U6" s="60" t="s">
        <v>44</v>
      </c>
      <c r="V6" s="60" t="s">
        <v>655</v>
      </c>
      <c r="W6" s="60" t="s">
        <v>656</v>
      </c>
      <c r="X6" s="60" t="s">
        <v>657</v>
      </c>
      <c r="Y6" s="60" t="s">
        <v>737</v>
      </c>
      <c r="Z6" s="60" t="s">
        <v>658</v>
      </c>
      <c r="AA6" s="60" t="s">
        <v>655</v>
      </c>
      <c r="AB6" s="60" t="s">
        <v>656</v>
      </c>
      <c r="AC6" s="60" t="s">
        <v>657</v>
      </c>
      <c r="AD6" s="60" t="s">
        <v>737</v>
      </c>
      <c r="AE6" s="60" t="s">
        <v>767</v>
      </c>
      <c r="AF6" s="61" t="s">
        <v>779</v>
      </c>
      <c r="AG6" s="61" t="s">
        <v>858</v>
      </c>
      <c r="AH6" s="61" t="s">
        <v>893</v>
      </c>
      <c r="AI6" s="61" t="s">
        <v>888</v>
      </c>
      <c r="AJ6" s="61" t="s">
        <v>768</v>
      </c>
      <c r="AK6" s="61" t="s">
        <v>770</v>
      </c>
      <c r="AL6" s="61" t="s">
        <v>769</v>
      </c>
      <c r="AM6" s="61" t="s">
        <v>775</v>
      </c>
      <c r="AN6" s="61" t="s">
        <v>857</v>
      </c>
      <c r="AO6" s="61" t="s">
        <v>890</v>
      </c>
      <c r="AP6" s="61" t="s">
        <v>891</v>
      </c>
      <c r="AQ6" s="61" t="s">
        <v>776</v>
      </c>
      <c r="AR6" s="61" t="s">
        <v>777</v>
      </c>
      <c r="AS6" s="61" t="s">
        <v>778</v>
      </c>
      <c r="AT6" s="61" t="s">
        <v>743</v>
      </c>
      <c r="AU6" s="61" t="s">
        <v>2</v>
      </c>
      <c r="AV6" s="61"/>
      <c r="AW6" s="66" t="s">
        <v>52</v>
      </c>
      <c r="AX6" s="66" t="s">
        <v>53</v>
      </c>
      <c r="AY6" s="66" t="s">
        <v>54</v>
      </c>
      <c r="AZ6" s="66" t="s">
        <v>55</v>
      </c>
      <c r="BA6" s="66" t="s">
        <v>56</v>
      </c>
      <c r="BB6" s="66" t="s">
        <v>57</v>
      </c>
      <c r="BC6" s="66" t="s">
        <v>58</v>
      </c>
      <c r="BD6" s="66" t="s">
        <v>59</v>
      </c>
      <c r="BE6" s="66" t="s">
        <v>60</v>
      </c>
      <c r="BF6" s="66" t="s">
        <v>61</v>
      </c>
    </row>
    <row r="7" spans="1:58" s="37" customFormat="1" hidden="1" x14ac:dyDescent="0.2">
      <c r="A7" s="113">
        <f>COLUMN(A6)</f>
        <v>1</v>
      </c>
      <c r="B7" s="113">
        <f t="shared" ref="B7:AS7" si="0">COLUMN(B6)</f>
        <v>2</v>
      </c>
      <c r="C7" s="113">
        <f t="shared" si="0"/>
        <v>3</v>
      </c>
      <c r="D7" s="113">
        <f t="shared" si="0"/>
        <v>4</v>
      </c>
      <c r="E7" s="113">
        <f t="shared" si="0"/>
        <v>5</v>
      </c>
      <c r="F7" s="113">
        <f t="shared" si="0"/>
        <v>6</v>
      </c>
      <c r="G7" s="113">
        <f t="shared" si="0"/>
        <v>7</v>
      </c>
      <c r="H7" s="113">
        <f t="shared" si="0"/>
        <v>8</v>
      </c>
      <c r="I7" s="113">
        <f t="shared" si="0"/>
        <v>9</v>
      </c>
      <c r="J7" s="113">
        <f t="shared" si="0"/>
        <v>10</v>
      </c>
      <c r="K7" s="113">
        <f t="shared" si="0"/>
        <v>11</v>
      </c>
      <c r="L7" s="113">
        <f t="shared" si="0"/>
        <v>12</v>
      </c>
      <c r="M7" s="113">
        <f t="shared" si="0"/>
        <v>13</v>
      </c>
      <c r="N7" s="113">
        <f t="shared" si="0"/>
        <v>14</v>
      </c>
      <c r="O7" s="113">
        <f t="shared" si="0"/>
        <v>15</v>
      </c>
      <c r="P7" s="113">
        <f t="shared" si="0"/>
        <v>16</v>
      </c>
      <c r="Q7" s="113">
        <f t="shared" si="0"/>
        <v>17</v>
      </c>
      <c r="R7" s="113">
        <f t="shared" si="0"/>
        <v>18</v>
      </c>
      <c r="S7" s="113">
        <f t="shared" si="0"/>
        <v>19</v>
      </c>
      <c r="T7" s="113">
        <f t="shared" si="0"/>
        <v>20</v>
      </c>
      <c r="U7" s="113">
        <f t="shared" si="0"/>
        <v>21</v>
      </c>
      <c r="V7" s="113">
        <f t="shared" si="0"/>
        <v>22</v>
      </c>
      <c r="W7" s="113">
        <f t="shared" si="0"/>
        <v>23</v>
      </c>
      <c r="X7" s="113">
        <f t="shared" si="0"/>
        <v>24</v>
      </c>
      <c r="Y7" s="113">
        <f t="shared" si="0"/>
        <v>25</v>
      </c>
      <c r="Z7" s="113">
        <f t="shared" si="0"/>
        <v>26</v>
      </c>
      <c r="AA7" s="113">
        <f t="shared" si="0"/>
        <v>27</v>
      </c>
      <c r="AB7" s="113">
        <f t="shared" si="0"/>
        <v>28</v>
      </c>
      <c r="AC7" s="113">
        <f t="shared" si="0"/>
        <v>29</v>
      </c>
      <c r="AD7" s="113">
        <f t="shared" si="0"/>
        <v>30</v>
      </c>
      <c r="AE7" s="113">
        <f t="shared" si="0"/>
        <v>31</v>
      </c>
      <c r="AF7" s="113">
        <f>COLUMN(AF6)</f>
        <v>32</v>
      </c>
      <c r="AG7" s="113">
        <f>COLUMN(AG6)</f>
        <v>33</v>
      </c>
      <c r="AH7" s="113">
        <f t="shared" ref="AH7:AQ7" si="1">COLUMN(AH6)</f>
        <v>34</v>
      </c>
      <c r="AI7" s="113">
        <f t="shared" si="1"/>
        <v>35</v>
      </c>
      <c r="AJ7" s="113">
        <f t="shared" si="1"/>
        <v>36</v>
      </c>
      <c r="AK7" s="113">
        <f t="shared" si="1"/>
        <v>37</v>
      </c>
      <c r="AL7" s="113">
        <f t="shared" si="1"/>
        <v>38</v>
      </c>
      <c r="AM7" s="113">
        <f t="shared" si="1"/>
        <v>39</v>
      </c>
      <c r="AN7" s="113">
        <f t="shared" si="1"/>
        <v>40</v>
      </c>
      <c r="AO7" s="113">
        <f t="shared" si="1"/>
        <v>41</v>
      </c>
      <c r="AP7" s="113">
        <f t="shared" si="1"/>
        <v>42</v>
      </c>
      <c r="AQ7" s="113">
        <f t="shared" si="1"/>
        <v>43</v>
      </c>
      <c r="AR7" s="113">
        <f t="shared" si="0"/>
        <v>44</v>
      </c>
      <c r="AS7" s="113">
        <f t="shared" si="0"/>
        <v>45</v>
      </c>
      <c r="AT7" s="113">
        <f>COLUMN(AT6)</f>
        <v>46</v>
      </c>
      <c r="AU7" s="113">
        <f t="shared" ref="AU7:AV7" si="2">COLUMN(AU6)</f>
        <v>47</v>
      </c>
      <c r="AV7" s="113">
        <f t="shared" si="2"/>
        <v>48</v>
      </c>
      <c r="AW7" s="114"/>
      <c r="AX7" s="114"/>
      <c r="AY7" s="114"/>
      <c r="AZ7" s="114"/>
      <c r="BA7" s="114"/>
      <c r="BB7" s="114"/>
      <c r="BC7" s="114"/>
      <c r="BD7" s="114"/>
      <c r="BE7" s="114"/>
      <c r="BF7" s="114"/>
    </row>
    <row r="8" spans="1:58" ht="24.95" customHeight="1" x14ac:dyDescent="0.2">
      <c r="A8" s="9" t="s">
        <v>4</v>
      </c>
      <c r="B8" s="9">
        <v>1</v>
      </c>
      <c r="C8" s="5" t="s">
        <v>62</v>
      </c>
      <c r="D8" s="81" t="s">
        <v>646</v>
      </c>
      <c r="E8" s="82">
        <v>3.01</v>
      </c>
      <c r="F8" s="187">
        <v>3.73</v>
      </c>
      <c r="G8" s="81">
        <f>COUNTIF('Availability and Costs'!$A:$A,"Vented Electric")</f>
        <v>151</v>
      </c>
      <c r="H8" s="81">
        <v>10</v>
      </c>
      <c r="I8" s="81" t="s">
        <v>619</v>
      </c>
      <c r="J8" s="81"/>
      <c r="K8" s="81"/>
      <c r="L8" s="81">
        <f>COUNTIFS('Availability and Costs'!$A:$A,"Vented Electric",'Availability and Costs'!E:E,"&gt;"&amp;0)</f>
        <v>104</v>
      </c>
      <c r="M8" s="81">
        <f>COUNTIFS('Availability and Costs'!$A:$A,"Vented Electric",'Availability and Costs'!F:F,"&gt;"&amp;0)</f>
        <v>94</v>
      </c>
      <c r="N8" s="81">
        <f>COUNTIFS('Availability and Costs'!$A:$A,"Vented Electric",'Availability and Costs'!G:G,"&gt;"&amp;0)</f>
        <v>77</v>
      </c>
      <c r="O8" s="81">
        <f t="shared" ref="O8:O11" si="3">ROUND(AVERAGE(L8:N8),0)</f>
        <v>92</v>
      </c>
      <c r="P8" s="81"/>
      <c r="Q8" s="95">
        <f>AVERAGEIF('Availability and Costs'!A:A,"Vented Electric",'Availability and Costs'!D:D)</f>
        <v>912.91959064327455</v>
      </c>
      <c r="R8" s="152" t="s">
        <v>744</v>
      </c>
      <c r="S8" s="84">
        <v>5.0999999999999996</v>
      </c>
      <c r="T8" s="16"/>
      <c r="U8" s="90">
        <v>0.77700000000000002</v>
      </c>
      <c r="V8" s="90">
        <v>0.46</v>
      </c>
      <c r="W8" s="90">
        <v>0.23</v>
      </c>
      <c r="X8" s="90">
        <v>0.08</v>
      </c>
      <c r="Y8" s="90">
        <v>7.0000000000000007E-2</v>
      </c>
      <c r="Z8" s="90">
        <v>0.27</v>
      </c>
      <c r="AA8" s="90">
        <v>0.45</v>
      </c>
      <c r="AB8" s="90">
        <v>0.28000000000000003</v>
      </c>
      <c r="AC8" s="90">
        <v>0.18</v>
      </c>
      <c r="AD8" s="90">
        <v>0.161</v>
      </c>
      <c r="AE8" s="90">
        <v>0.3</v>
      </c>
      <c r="AF8" s="239">
        <f>AF9/0.8</f>
        <v>760</v>
      </c>
      <c r="AG8" s="237">
        <v>1.0000000000000001E-5</v>
      </c>
      <c r="AH8" s="237">
        <v>779</v>
      </c>
      <c r="AI8" s="159" t="s">
        <v>892</v>
      </c>
      <c r="AJ8" s="81">
        <v>684</v>
      </c>
      <c r="AK8" s="83">
        <v>0</v>
      </c>
      <c r="AL8" s="81">
        <v>742</v>
      </c>
      <c r="AM8" s="159">
        <v>1E-4</v>
      </c>
      <c r="AN8" s="159">
        <v>1.0000000000000001E-5</v>
      </c>
      <c r="AO8" s="237">
        <v>0</v>
      </c>
      <c r="AP8" s="237">
        <v>0</v>
      </c>
      <c r="AQ8" s="163">
        <v>0</v>
      </c>
      <c r="AR8" s="16">
        <v>0</v>
      </c>
      <c r="AS8" s="16"/>
      <c r="AT8" s="16"/>
      <c r="AU8" s="83">
        <v>16</v>
      </c>
      <c r="AV8" s="16"/>
    </row>
    <row r="9" spans="1:58" ht="24.95" customHeight="1" x14ac:dyDescent="0.2">
      <c r="A9" s="9" t="s">
        <v>4</v>
      </c>
      <c r="B9" s="9">
        <v>2</v>
      </c>
      <c r="C9" s="5" t="s">
        <v>67</v>
      </c>
      <c r="D9" s="81" t="s">
        <v>73</v>
      </c>
      <c r="E9" s="81" t="s">
        <v>8</v>
      </c>
      <c r="F9" s="187">
        <v>3.93</v>
      </c>
      <c r="G9" s="81">
        <v>24</v>
      </c>
      <c r="H9" s="81">
        <v>4</v>
      </c>
      <c r="I9" s="81" t="s">
        <v>619</v>
      </c>
      <c r="J9" s="81"/>
      <c r="K9" s="81"/>
      <c r="L9" s="81">
        <f>COUNTIFS('Availability and Costs'!$A:$A,"ES - Electric",'Availability and Costs'!E:E,"&gt;"&amp;0)</f>
        <v>12</v>
      </c>
      <c r="M9" s="81">
        <f>COUNTIFS('Availability and Costs'!$A:$A,"ES - Electric",'Availability and Costs'!F:F,"&gt;"&amp;0)</f>
        <v>11</v>
      </c>
      <c r="N9" s="81">
        <f>COUNTIFS('Availability and Costs'!$A:$A,"ES - Electric",'Availability and Costs'!G:G,"&gt;"&amp;0)</f>
        <v>4</v>
      </c>
      <c r="O9" s="81">
        <f t="shared" si="3"/>
        <v>9</v>
      </c>
      <c r="P9" s="81"/>
      <c r="Q9" s="95">
        <f>AVERAGEIF('Availability and Costs'!A:A,"ES - Electric",'Availability and Costs'!D:D)</f>
        <v>1010.1609374999999</v>
      </c>
      <c r="R9" s="152" t="s">
        <v>618</v>
      </c>
      <c r="S9" s="16"/>
      <c r="T9" s="16"/>
      <c r="U9" s="16" t="s">
        <v>7</v>
      </c>
      <c r="V9" s="87"/>
      <c r="W9" s="87"/>
      <c r="X9" s="87"/>
      <c r="Y9" s="87"/>
      <c r="Z9" s="87"/>
      <c r="AA9" s="87"/>
      <c r="AB9" s="87"/>
      <c r="AC9" s="87"/>
      <c r="AD9" s="87"/>
      <c r="AE9" s="87"/>
      <c r="AF9" s="237">
        <v>608</v>
      </c>
      <c r="AG9" s="237">
        <v>1.0000000000000001E-5</v>
      </c>
      <c r="AH9" s="237">
        <v>683</v>
      </c>
      <c r="AI9" s="159" t="s">
        <v>902</v>
      </c>
      <c r="AJ9" s="159">
        <v>651</v>
      </c>
      <c r="AK9" s="83">
        <v>0</v>
      </c>
      <c r="AL9" s="159" t="s">
        <v>7</v>
      </c>
      <c r="AM9" s="159">
        <v>160</v>
      </c>
      <c r="AN9" s="159">
        <v>1.0000000000000001E-5</v>
      </c>
      <c r="AO9" s="237">
        <v>93</v>
      </c>
      <c r="AP9" s="237">
        <v>141</v>
      </c>
      <c r="AQ9" s="188">
        <f>$AJ$8-AJ9</f>
        <v>33</v>
      </c>
      <c r="AR9" s="16">
        <v>0</v>
      </c>
      <c r="AS9" s="16"/>
      <c r="AT9" s="159"/>
      <c r="AU9" s="83">
        <v>16</v>
      </c>
      <c r="AV9" s="16"/>
    </row>
    <row r="10" spans="1:58" ht="24.95" customHeight="1" x14ac:dyDescent="0.2">
      <c r="A10" s="9" t="s">
        <v>4</v>
      </c>
      <c r="B10" s="9">
        <v>3</v>
      </c>
      <c r="C10" s="5" t="s">
        <v>821</v>
      </c>
      <c r="D10" s="72">
        <v>7.3</v>
      </c>
      <c r="E10" s="81" t="s">
        <v>8</v>
      </c>
      <c r="F10" s="187">
        <v>4.3499999999999996</v>
      </c>
      <c r="G10" s="81">
        <v>2</v>
      </c>
      <c r="H10" s="16">
        <v>2</v>
      </c>
      <c r="I10" s="16" t="s">
        <v>620</v>
      </c>
      <c r="J10" s="16"/>
      <c r="K10" s="16"/>
      <c r="L10" s="81">
        <v>0</v>
      </c>
      <c r="M10" s="81">
        <v>0</v>
      </c>
      <c r="N10" s="81">
        <v>0</v>
      </c>
      <c r="O10" s="81">
        <f>ROUND(AVERAGE(L10:N10),0)</f>
        <v>0</v>
      </c>
      <c r="P10" s="16"/>
      <c r="Q10" s="88">
        <f>(1599 + 1699)/2</f>
        <v>1649</v>
      </c>
      <c r="R10" s="5" t="s">
        <v>862</v>
      </c>
      <c r="S10" s="16"/>
      <c r="T10" s="16"/>
      <c r="U10" s="16" t="s">
        <v>7</v>
      </c>
      <c r="V10" s="81"/>
      <c r="W10" s="81"/>
      <c r="X10" s="81"/>
      <c r="Y10" s="81"/>
      <c r="Z10" s="81"/>
      <c r="AA10" s="81"/>
      <c r="AB10" s="81"/>
      <c r="AC10" s="81"/>
      <c r="AD10" s="81"/>
      <c r="AE10" s="81"/>
      <c r="AF10" s="237">
        <f>(556+531)/2</f>
        <v>543.5</v>
      </c>
      <c r="AG10" s="237">
        <v>1.0000000000000001E-5</v>
      </c>
      <c r="AH10" s="237">
        <v>592</v>
      </c>
      <c r="AI10" s="159" t="s">
        <v>904</v>
      </c>
      <c r="AJ10" s="81">
        <v>597</v>
      </c>
      <c r="AK10" s="83">
        <v>0</v>
      </c>
      <c r="AL10" s="81" t="s">
        <v>7</v>
      </c>
      <c r="AM10" s="159">
        <f>$AF$8-AF10</f>
        <v>216.5</v>
      </c>
      <c r="AN10" s="159">
        <v>9.9999999999999995E-7</v>
      </c>
      <c r="AO10" s="237">
        <v>183</v>
      </c>
      <c r="AP10" s="237">
        <v>228</v>
      </c>
      <c r="AQ10" s="188">
        <f>$AJ$8-AJ10</f>
        <v>87</v>
      </c>
      <c r="AR10" s="85">
        <v>0</v>
      </c>
      <c r="AS10" s="85"/>
      <c r="AT10" s="16"/>
      <c r="AU10" s="83">
        <v>16</v>
      </c>
      <c r="AV10" s="16"/>
    </row>
    <row r="11" spans="1:58" ht="24.95" customHeight="1" x14ac:dyDescent="0.2">
      <c r="A11" s="9" t="s">
        <v>4</v>
      </c>
      <c r="B11" s="9">
        <v>4</v>
      </c>
      <c r="C11" s="5" t="s">
        <v>822</v>
      </c>
      <c r="D11" s="72">
        <v>3.9</v>
      </c>
      <c r="E11" s="81" t="s">
        <v>8</v>
      </c>
      <c r="F11" s="187">
        <v>4.5199999999999996</v>
      </c>
      <c r="G11" s="81" t="s">
        <v>661</v>
      </c>
      <c r="H11" s="96" t="s">
        <v>661</v>
      </c>
      <c r="I11" s="81" t="s">
        <v>620</v>
      </c>
      <c r="J11" s="81"/>
      <c r="K11" s="81"/>
      <c r="L11" s="81">
        <v>0</v>
      </c>
      <c r="M11" s="81">
        <v>0</v>
      </c>
      <c r="N11" s="81">
        <v>0</v>
      </c>
      <c r="O11" s="81">
        <f t="shared" si="3"/>
        <v>0</v>
      </c>
      <c r="P11" s="81"/>
      <c r="Q11" s="186">
        <v>983</v>
      </c>
      <c r="R11" s="152" t="s">
        <v>793</v>
      </c>
      <c r="S11" s="16"/>
      <c r="T11" s="16"/>
      <c r="U11" s="16" t="s">
        <v>7</v>
      </c>
      <c r="V11" s="81"/>
      <c r="W11" s="81"/>
      <c r="X11" s="81"/>
      <c r="Y11" s="81"/>
      <c r="Z11" s="81"/>
      <c r="AA11" s="81"/>
      <c r="AB11" s="81"/>
      <c r="AC11" s="81"/>
      <c r="AD11" s="81"/>
      <c r="AE11" s="81"/>
      <c r="AF11" s="239" t="s">
        <v>7</v>
      </c>
      <c r="AG11" s="239"/>
      <c r="AH11" s="238" t="s">
        <v>898</v>
      </c>
      <c r="AI11" s="190" t="s">
        <v>899</v>
      </c>
      <c r="AJ11" s="81">
        <v>577</v>
      </c>
      <c r="AK11" s="83">
        <v>0</v>
      </c>
      <c r="AL11" s="81">
        <v>314</v>
      </c>
      <c r="AM11" s="81" t="s">
        <v>7</v>
      </c>
      <c r="AN11" s="81"/>
      <c r="AO11" s="238" t="s">
        <v>900</v>
      </c>
      <c r="AP11" s="238" t="s">
        <v>901</v>
      </c>
      <c r="AQ11" s="188">
        <f>$AJ$8-AJ11</f>
        <v>107</v>
      </c>
      <c r="AR11" s="16">
        <v>0</v>
      </c>
      <c r="AS11" s="16">
        <f>AL8-AL11</f>
        <v>428</v>
      </c>
      <c r="AT11" s="16" t="s">
        <v>780</v>
      </c>
      <c r="AU11" s="83">
        <v>16</v>
      </c>
      <c r="AV11" s="16"/>
    </row>
    <row r="12" spans="1:58" ht="24.95" customHeight="1" x14ac:dyDescent="0.2">
      <c r="A12" s="9" t="s">
        <v>4</v>
      </c>
      <c r="B12" s="9">
        <v>5</v>
      </c>
      <c r="C12" s="5" t="s">
        <v>63</v>
      </c>
      <c r="D12" s="81" t="s">
        <v>75</v>
      </c>
      <c r="E12" s="82">
        <v>3.13</v>
      </c>
      <c r="F12" s="187">
        <v>3.61</v>
      </c>
      <c r="G12" s="81">
        <f>COUNTIF('Availability and Costs'!$A:$A,"Vented Compact Electric -120V")</f>
        <v>4</v>
      </c>
      <c r="H12" s="81">
        <v>3</v>
      </c>
      <c r="I12" s="81" t="s">
        <v>619</v>
      </c>
      <c r="J12" s="81"/>
      <c r="K12" s="81"/>
      <c r="L12" s="81">
        <f>COUNTIFS('Availability and Costs'!$A:$A,"Vented Compact Electric -120V",'Availability and Costs'!E:E,"&gt;"&amp;0)</f>
        <v>4</v>
      </c>
      <c r="M12" s="81">
        <f>COUNTIFS('Availability and Costs'!$A:$A,"Vented Compact Electric -120V",'Availability and Costs'!F:F,"&gt;"&amp;0)</f>
        <v>2</v>
      </c>
      <c r="N12" s="81">
        <f>COUNTIFS('Availability and Costs'!$A:$A,"Vented Compact Electric -120V",'Availability and Costs'!G:G,"&gt;"&amp;0)</f>
        <v>3</v>
      </c>
      <c r="O12" s="81">
        <f>ROUND(AVERAGE(L12:N12),0)</f>
        <v>3</v>
      </c>
      <c r="P12" s="81"/>
      <c r="Q12" s="95">
        <f>AVERAGEIF('Availability and Costs'!A:A,"Vented Compact Electric -120V",'Availability and Costs'!D:D)</f>
        <v>611.11958333333325</v>
      </c>
      <c r="R12" s="153" t="s">
        <v>618</v>
      </c>
      <c r="S12" s="16" t="s">
        <v>7</v>
      </c>
      <c r="T12" s="16"/>
      <c r="U12" s="92">
        <v>2E-3</v>
      </c>
      <c r="V12" s="92"/>
      <c r="W12" s="92"/>
      <c r="X12" s="92"/>
      <c r="Y12" s="92"/>
      <c r="Z12" s="92"/>
      <c r="AA12" s="92"/>
      <c r="AB12" s="93"/>
      <c r="AC12" s="93"/>
      <c r="AD12" s="93"/>
      <c r="AE12" s="92"/>
      <c r="AF12" s="239" t="s">
        <v>7</v>
      </c>
      <c r="AG12" s="239"/>
      <c r="AH12" s="239" t="s">
        <v>8</v>
      </c>
      <c r="AI12" s="81"/>
      <c r="AJ12" s="81">
        <v>305</v>
      </c>
      <c r="AK12" s="83">
        <v>0</v>
      </c>
      <c r="AL12" s="81" t="s">
        <v>7</v>
      </c>
      <c r="AM12" s="159">
        <v>1E-4</v>
      </c>
      <c r="AN12" s="159">
        <v>1E-4</v>
      </c>
      <c r="AO12" s="239" t="s">
        <v>8</v>
      </c>
      <c r="AP12" s="239" t="s">
        <v>8</v>
      </c>
      <c r="AQ12" s="188">
        <v>0</v>
      </c>
      <c r="AR12" s="85">
        <v>0</v>
      </c>
      <c r="AS12" s="85"/>
      <c r="AT12" s="16" t="s">
        <v>747</v>
      </c>
      <c r="AU12" s="83">
        <v>16</v>
      </c>
      <c r="AV12" s="16"/>
    </row>
    <row r="13" spans="1:58" ht="24.95" customHeight="1" x14ac:dyDescent="0.2">
      <c r="A13" s="9" t="s">
        <v>4</v>
      </c>
      <c r="B13" s="9">
        <v>6</v>
      </c>
      <c r="C13" s="5" t="s">
        <v>64</v>
      </c>
      <c r="D13" s="81" t="s">
        <v>74</v>
      </c>
      <c r="E13" s="82">
        <v>2.9</v>
      </c>
      <c r="F13" s="187">
        <v>3.27</v>
      </c>
      <c r="G13" s="81">
        <f>COUNTIF('Availability and Costs'!$A:$A,"Vented Compact Electric -240V")</f>
        <v>3</v>
      </c>
      <c r="H13" s="81">
        <v>2</v>
      </c>
      <c r="I13" s="81" t="s">
        <v>619</v>
      </c>
      <c r="J13" s="81"/>
      <c r="K13" s="81"/>
      <c r="L13" s="81">
        <f>COUNTIFS('Availability and Costs'!$A:$A,"Vented Compact Electric -240V",'Availability and Costs'!E:E,"&gt;"&amp;0)</f>
        <v>3</v>
      </c>
      <c r="M13" s="81">
        <f>COUNTIFS('Availability and Costs'!$A:$A,"Vented Compact Electric -240V",'Availability and Costs'!F:F,"&gt;"&amp;0)</f>
        <v>3</v>
      </c>
      <c r="N13" s="81">
        <f>COUNTIFS('Availability and Costs'!$A:$A,"Vented Compact Electric -240V",'Availability and Costs'!G:G,"&gt;"&amp;0)</f>
        <v>3</v>
      </c>
      <c r="O13" s="81">
        <f>ROUND(AVERAGE(L13:N13),0)</f>
        <v>3</v>
      </c>
      <c r="P13" s="81"/>
      <c r="Q13" s="95">
        <f>AVERAGEIF('Availability and Costs'!A:A,"Vented Compact Electric -240V",'Availability and Costs'!D:D)</f>
        <v>658.10777777777776</v>
      </c>
      <c r="R13" s="153" t="s">
        <v>618</v>
      </c>
      <c r="S13" s="16" t="s">
        <v>7</v>
      </c>
      <c r="T13" s="16"/>
      <c r="U13" s="90">
        <v>8.0000000000000002E-3</v>
      </c>
      <c r="V13" s="90"/>
      <c r="W13" s="90"/>
      <c r="X13" s="90"/>
      <c r="Y13" s="90"/>
      <c r="Z13" s="90"/>
      <c r="AA13" s="90"/>
      <c r="AB13" s="91"/>
      <c r="AC13" s="91"/>
      <c r="AD13" s="91"/>
      <c r="AE13" s="90"/>
      <c r="AF13" s="239" t="s">
        <v>7</v>
      </c>
      <c r="AG13" s="239"/>
      <c r="AH13" s="239" t="s">
        <v>8</v>
      </c>
      <c r="AI13" s="81"/>
      <c r="AJ13" s="81">
        <v>340</v>
      </c>
      <c r="AK13" s="83">
        <v>0</v>
      </c>
      <c r="AL13" s="81" t="s">
        <v>7</v>
      </c>
      <c r="AM13" s="159">
        <v>1E-4</v>
      </c>
      <c r="AN13" s="159">
        <v>1E-4</v>
      </c>
      <c r="AO13" s="239" t="s">
        <v>8</v>
      </c>
      <c r="AP13" s="239" t="s">
        <v>8</v>
      </c>
      <c r="AQ13" s="188">
        <v>0</v>
      </c>
      <c r="AR13" s="85">
        <v>0</v>
      </c>
      <c r="AS13" s="85"/>
      <c r="AT13" s="16" t="s">
        <v>747</v>
      </c>
      <c r="AU13" s="83">
        <v>16</v>
      </c>
      <c r="AV13" s="16"/>
    </row>
    <row r="14" spans="1:58" ht="24.95" customHeight="1" x14ac:dyDescent="0.2">
      <c r="A14" s="10" t="s">
        <v>4</v>
      </c>
      <c r="B14" s="10">
        <v>7</v>
      </c>
      <c r="C14" s="5" t="s">
        <v>65</v>
      </c>
      <c r="D14" s="81" t="s">
        <v>74</v>
      </c>
      <c r="E14" s="82" t="s">
        <v>8</v>
      </c>
      <c r="F14" s="187">
        <v>2.5499999999999998</v>
      </c>
      <c r="G14" s="81">
        <f>COUNTIF('Availability and Costs'!$A:$A,"Ventless Compact Electric -240V")</f>
        <v>3</v>
      </c>
      <c r="H14" s="85">
        <v>2</v>
      </c>
      <c r="I14" s="81" t="s">
        <v>619</v>
      </c>
      <c r="J14" s="81"/>
      <c r="K14" s="81"/>
      <c r="L14" s="81">
        <f>COUNTIFS('Availability and Costs'!$A:$A,"Ventless Compact Electric -240V",'Availability and Costs'!E:E,"&gt;"&amp;0)</f>
        <v>2</v>
      </c>
      <c r="M14" s="81">
        <f>COUNTIFS('Availability and Costs'!$A:$A,"Ventless Compact Electric -240V",'Availability and Costs'!F:F,"&gt;"&amp;0)</f>
        <v>1</v>
      </c>
      <c r="N14" s="81">
        <f>COUNTIFS('Availability and Costs'!$A:$A,"Ventless Compact Electric -240V",'Availability and Costs'!G:G,"&gt;"&amp;0)</f>
        <v>1</v>
      </c>
      <c r="O14" s="81">
        <f>ROUND(AVERAGE(L14:N14),0)</f>
        <v>1</v>
      </c>
      <c r="P14" s="81"/>
      <c r="Q14" s="95">
        <f>AVERAGEIF('Availability and Costs'!A:A,"Ventless Compact Electric -240V",'Availability and Costs'!D:D)</f>
        <v>1032.9933333333333</v>
      </c>
      <c r="R14" s="153" t="s">
        <v>618</v>
      </c>
      <c r="S14" s="16" t="s">
        <v>7</v>
      </c>
      <c r="T14" s="16"/>
      <c r="U14" s="90">
        <v>5.0000000000000001E-3</v>
      </c>
      <c r="V14" s="90"/>
      <c r="W14" s="90"/>
      <c r="X14" s="90"/>
      <c r="Y14" s="90"/>
      <c r="Z14" s="90"/>
      <c r="AA14" s="90"/>
      <c r="AB14" s="91"/>
      <c r="AC14" s="91"/>
      <c r="AD14" s="91"/>
      <c r="AE14" s="90"/>
      <c r="AF14" s="239" t="s">
        <v>7</v>
      </c>
      <c r="AG14" s="239"/>
      <c r="AH14" s="239" t="s">
        <v>8</v>
      </c>
      <c r="AI14" s="81"/>
      <c r="AJ14" s="81">
        <v>372</v>
      </c>
      <c r="AK14" s="83">
        <v>0</v>
      </c>
      <c r="AL14" s="81" t="s">
        <v>7</v>
      </c>
      <c r="AM14" s="159">
        <v>1E-4</v>
      </c>
      <c r="AN14" s="159">
        <v>1E-4</v>
      </c>
      <c r="AO14" s="239" t="s">
        <v>8</v>
      </c>
      <c r="AP14" s="239" t="s">
        <v>8</v>
      </c>
      <c r="AQ14" s="188">
        <v>0</v>
      </c>
      <c r="AR14" s="85">
        <v>0</v>
      </c>
      <c r="AS14" s="85"/>
      <c r="AT14" s="16" t="s">
        <v>747</v>
      </c>
      <c r="AU14" s="83">
        <v>16</v>
      </c>
      <c r="AV14" s="16"/>
    </row>
    <row r="15" spans="1:58" ht="24.95" customHeight="1" x14ac:dyDescent="0.2">
      <c r="A15" s="9" t="s">
        <v>4</v>
      </c>
      <c r="B15" s="9">
        <v>8</v>
      </c>
      <c r="C15" s="5" t="s">
        <v>68</v>
      </c>
      <c r="D15" s="81" t="s">
        <v>74</v>
      </c>
      <c r="E15" s="81" t="s">
        <v>8</v>
      </c>
      <c r="F15" s="187">
        <v>3.8</v>
      </c>
      <c r="G15" s="81">
        <v>0</v>
      </c>
      <c r="H15" s="96">
        <v>0</v>
      </c>
      <c r="I15" s="81" t="s">
        <v>8</v>
      </c>
      <c r="J15" s="81"/>
      <c r="K15" s="81"/>
      <c r="L15" s="81" t="s">
        <v>8</v>
      </c>
      <c r="M15" s="81" t="s">
        <v>8</v>
      </c>
      <c r="N15" s="81" t="s">
        <v>8</v>
      </c>
      <c r="O15" s="81" t="s">
        <v>8</v>
      </c>
      <c r="P15" s="81" t="s">
        <v>644</v>
      </c>
      <c r="Q15" s="87" t="s">
        <v>8</v>
      </c>
      <c r="R15" s="152" t="s">
        <v>142</v>
      </c>
      <c r="S15" s="16"/>
      <c r="T15" s="16"/>
      <c r="U15" s="16" t="s">
        <v>7</v>
      </c>
      <c r="V15" s="81"/>
      <c r="W15" s="81"/>
      <c r="X15" s="81"/>
      <c r="Y15" s="81"/>
      <c r="Z15" s="81"/>
      <c r="AA15" s="81"/>
      <c r="AB15" s="81"/>
      <c r="AC15" s="81"/>
      <c r="AD15" s="81"/>
      <c r="AE15" s="81"/>
      <c r="AF15" s="239" t="s">
        <v>8</v>
      </c>
      <c r="AG15" s="239"/>
      <c r="AH15" s="239" t="s">
        <v>8</v>
      </c>
      <c r="AI15" s="81"/>
      <c r="AJ15" s="81">
        <v>289</v>
      </c>
      <c r="AK15" s="83">
        <v>0</v>
      </c>
      <c r="AL15" s="81" t="s">
        <v>7</v>
      </c>
      <c r="AM15" s="81">
        <v>59</v>
      </c>
      <c r="AN15" s="159">
        <v>1E-4</v>
      </c>
      <c r="AO15" s="239" t="s">
        <v>8</v>
      </c>
      <c r="AP15" s="239" t="s">
        <v>8</v>
      </c>
      <c r="AQ15" s="188">
        <f>AJ12-AJ15</f>
        <v>16</v>
      </c>
      <c r="AR15" s="85">
        <v>0</v>
      </c>
      <c r="AS15" s="85"/>
      <c r="AT15" s="16" t="s">
        <v>741</v>
      </c>
      <c r="AU15" s="83">
        <v>16</v>
      </c>
      <c r="AV15" s="16"/>
    </row>
    <row r="16" spans="1:58" ht="24.95" customHeight="1" x14ac:dyDescent="0.2">
      <c r="A16" s="9" t="s">
        <v>4</v>
      </c>
      <c r="B16" s="10">
        <v>9</v>
      </c>
      <c r="C16" s="5" t="s">
        <v>69</v>
      </c>
      <c r="D16" s="81" t="s">
        <v>74</v>
      </c>
      <c r="E16" s="81" t="s">
        <v>8</v>
      </c>
      <c r="F16" s="187">
        <v>3.45</v>
      </c>
      <c r="G16" s="81">
        <v>0</v>
      </c>
      <c r="H16" s="96">
        <v>0</v>
      </c>
      <c r="I16" s="81" t="s">
        <v>8</v>
      </c>
      <c r="J16" s="81"/>
      <c r="K16" s="81"/>
      <c r="L16" s="81" t="s">
        <v>8</v>
      </c>
      <c r="M16" s="81" t="s">
        <v>8</v>
      </c>
      <c r="N16" s="81" t="s">
        <v>8</v>
      </c>
      <c r="O16" s="81" t="s">
        <v>8</v>
      </c>
      <c r="P16" s="81" t="s">
        <v>644</v>
      </c>
      <c r="Q16" s="87" t="s">
        <v>8</v>
      </c>
      <c r="R16" s="152" t="s">
        <v>142</v>
      </c>
      <c r="S16" s="16"/>
      <c r="T16" s="16"/>
      <c r="U16" s="16" t="s">
        <v>7</v>
      </c>
      <c r="V16" s="81"/>
      <c r="W16" s="81"/>
      <c r="X16" s="81"/>
      <c r="Y16" s="81"/>
      <c r="Z16" s="81"/>
      <c r="AA16" s="81"/>
      <c r="AB16" s="81"/>
      <c r="AC16" s="81"/>
      <c r="AD16" s="81"/>
      <c r="AE16" s="81"/>
      <c r="AF16" s="239" t="s">
        <v>8</v>
      </c>
      <c r="AG16" s="239"/>
      <c r="AH16" s="239" t="s">
        <v>8</v>
      </c>
      <c r="AI16" s="81"/>
      <c r="AJ16" s="81">
        <v>322</v>
      </c>
      <c r="AK16" s="83">
        <v>0</v>
      </c>
      <c r="AL16" s="81" t="s">
        <v>7</v>
      </c>
      <c r="AM16" s="81">
        <v>65</v>
      </c>
      <c r="AN16" s="159">
        <v>1E-4</v>
      </c>
      <c r="AO16" s="239" t="s">
        <v>8</v>
      </c>
      <c r="AP16" s="239" t="s">
        <v>8</v>
      </c>
      <c r="AQ16" s="188">
        <f t="shared" ref="AQ16:AQ17" si="4">AJ13-AJ16</f>
        <v>18</v>
      </c>
      <c r="AR16" s="85">
        <v>0</v>
      </c>
      <c r="AS16" s="85"/>
      <c r="AT16" s="16" t="s">
        <v>741</v>
      </c>
      <c r="AU16" s="83">
        <v>16</v>
      </c>
      <c r="AV16" s="16"/>
    </row>
    <row r="17" spans="1:48" ht="24.95" customHeight="1" x14ac:dyDescent="0.2">
      <c r="A17" s="9" t="s">
        <v>4</v>
      </c>
      <c r="B17" s="9">
        <v>10</v>
      </c>
      <c r="C17" s="5" t="s">
        <v>70</v>
      </c>
      <c r="D17" s="81" t="s">
        <v>74</v>
      </c>
      <c r="E17" s="81" t="s">
        <v>8</v>
      </c>
      <c r="F17" s="187">
        <v>2.68</v>
      </c>
      <c r="G17" s="81">
        <v>0</v>
      </c>
      <c r="H17" s="96">
        <v>0</v>
      </c>
      <c r="I17" s="81" t="s">
        <v>8</v>
      </c>
      <c r="J17" s="81"/>
      <c r="K17" s="81"/>
      <c r="L17" s="81" t="s">
        <v>8</v>
      </c>
      <c r="M17" s="81" t="s">
        <v>8</v>
      </c>
      <c r="N17" s="81" t="s">
        <v>8</v>
      </c>
      <c r="O17" s="81" t="s">
        <v>8</v>
      </c>
      <c r="P17" s="81" t="s">
        <v>644</v>
      </c>
      <c r="Q17" s="87" t="s">
        <v>8</v>
      </c>
      <c r="R17" s="152" t="s">
        <v>142</v>
      </c>
      <c r="S17" s="16"/>
      <c r="T17" s="16"/>
      <c r="U17" s="16" t="s">
        <v>7</v>
      </c>
      <c r="V17" s="81"/>
      <c r="W17" s="81"/>
      <c r="X17" s="81"/>
      <c r="Y17" s="81"/>
      <c r="Z17" s="81"/>
      <c r="AA17" s="81"/>
      <c r="AB17" s="81"/>
      <c r="AC17" s="81"/>
      <c r="AD17" s="81"/>
      <c r="AE17" s="81"/>
      <c r="AF17" s="239" t="s">
        <v>8</v>
      </c>
      <c r="AG17" s="239"/>
      <c r="AH17" s="239" t="s">
        <v>8</v>
      </c>
      <c r="AI17" s="81"/>
      <c r="AJ17" s="81">
        <v>355.2</v>
      </c>
      <c r="AK17" s="83">
        <v>0</v>
      </c>
      <c r="AL17" s="81" t="s">
        <v>7</v>
      </c>
      <c r="AM17" s="81">
        <v>82</v>
      </c>
      <c r="AN17" s="159">
        <v>1E-4</v>
      </c>
      <c r="AO17" s="239" t="s">
        <v>8</v>
      </c>
      <c r="AP17" s="239" t="s">
        <v>8</v>
      </c>
      <c r="AQ17" s="188">
        <f t="shared" si="4"/>
        <v>16.800000000000011</v>
      </c>
      <c r="AR17" s="85">
        <v>0</v>
      </c>
      <c r="AS17" s="85"/>
      <c r="AT17" s="16" t="s">
        <v>741</v>
      </c>
      <c r="AU17" s="83">
        <v>16</v>
      </c>
      <c r="AV17" s="16"/>
    </row>
    <row r="18" spans="1:48" ht="24.95" customHeight="1" x14ac:dyDescent="0.2">
      <c r="A18" s="9" t="s">
        <v>3</v>
      </c>
      <c r="B18" s="9">
        <v>11</v>
      </c>
      <c r="C18" s="5" t="s">
        <v>66</v>
      </c>
      <c r="D18" s="86" t="s">
        <v>76</v>
      </c>
      <c r="E18" s="82">
        <v>2.67</v>
      </c>
      <c r="F18" s="187">
        <v>3.3</v>
      </c>
      <c r="G18" s="81">
        <f>COUNTIF('Availability and Costs'!$A:$A,"Vented Gas")</f>
        <v>149</v>
      </c>
      <c r="H18" s="85">
        <v>10</v>
      </c>
      <c r="I18" s="81" t="s">
        <v>619</v>
      </c>
      <c r="J18" s="81"/>
      <c r="K18" s="81"/>
      <c r="L18" s="81">
        <f>COUNTIFS('Availability and Costs'!$A:$A,"Vented Gas",'Availability and Costs'!E:E,"&gt;"&amp;0)</f>
        <v>108</v>
      </c>
      <c r="M18" s="81">
        <f>COUNTIFS('Availability and Costs'!$A:$A,"Vented Gas",'Availability and Costs'!F:F,"&gt;"&amp;0)</f>
        <v>93</v>
      </c>
      <c r="N18" s="81">
        <f>COUNTIFS('Availability and Costs'!$A:$A,"Vented Gas",'Availability and Costs'!G:G,"&gt;"&amp;0)</f>
        <v>76</v>
      </c>
      <c r="O18" s="81">
        <f>ROUND(AVERAGE(L18:N18),0)</f>
        <v>92</v>
      </c>
      <c r="P18" s="81"/>
      <c r="Q18" s="95">
        <f>AVERAGEIF('Availability and Costs'!A:A,"Vented Gas",'Availability and Costs'!D:D)</f>
        <v>1011.882882882883</v>
      </c>
      <c r="R18" s="153" t="s">
        <v>745</v>
      </c>
      <c r="S18" s="16">
        <v>1.2</v>
      </c>
      <c r="T18" s="16"/>
      <c r="U18" s="90">
        <v>0.20899999999999999</v>
      </c>
      <c r="V18" s="90">
        <v>0.28999999999999998</v>
      </c>
      <c r="W18" s="90">
        <v>0.51</v>
      </c>
      <c r="X18" s="90">
        <v>0.67</v>
      </c>
      <c r="Y18" s="90">
        <v>0.78</v>
      </c>
      <c r="Z18" s="90">
        <v>0.48</v>
      </c>
      <c r="AA18" s="90">
        <v>0.26</v>
      </c>
      <c r="AB18" s="90">
        <v>0.41</v>
      </c>
      <c r="AC18" s="90">
        <v>0.53700000000000003</v>
      </c>
      <c r="AD18" s="90">
        <v>0.57999999999999996</v>
      </c>
      <c r="AE18" s="90">
        <v>0.4</v>
      </c>
      <c r="AF18" s="238">
        <f>AF19/0.8</f>
        <v>856.25</v>
      </c>
      <c r="AG18" s="238"/>
      <c r="AH18" s="238" t="s">
        <v>8</v>
      </c>
      <c r="AI18" s="190"/>
      <c r="AJ18" s="83">
        <v>29.8</v>
      </c>
      <c r="AK18" s="83">
        <v>24.5</v>
      </c>
      <c r="AL18" s="85" t="s">
        <v>7</v>
      </c>
      <c r="AM18" s="190">
        <v>1.0000000000000001E-5</v>
      </c>
      <c r="AN18" s="190">
        <v>1.0000000000000001E-5</v>
      </c>
      <c r="AO18" s="238" t="s">
        <v>8</v>
      </c>
      <c r="AP18" s="238" t="s">
        <v>8</v>
      </c>
      <c r="AQ18" s="189">
        <v>0</v>
      </c>
      <c r="AR18" s="16">
        <v>0</v>
      </c>
      <c r="AS18" s="16"/>
      <c r="AT18" s="85"/>
      <c r="AU18" s="83">
        <v>16</v>
      </c>
      <c r="AV18" s="16"/>
    </row>
    <row r="19" spans="1:48" ht="24.95" customHeight="1" x14ac:dyDescent="0.2">
      <c r="A19" s="9" t="s">
        <v>3</v>
      </c>
      <c r="B19" s="9">
        <v>12</v>
      </c>
      <c r="C19" s="5" t="s">
        <v>71</v>
      </c>
      <c r="D19" s="81" t="s">
        <v>72</v>
      </c>
      <c r="E19" s="81" t="s">
        <v>8</v>
      </c>
      <c r="F19" s="82">
        <v>3.48</v>
      </c>
      <c r="G19" s="81">
        <v>8</v>
      </c>
      <c r="H19" s="81">
        <v>2</v>
      </c>
      <c r="I19" s="81" t="s">
        <v>619</v>
      </c>
      <c r="J19" s="81"/>
      <c r="K19" s="81"/>
      <c r="L19" s="81">
        <f>COUNTIFS('Availability and Costs'!$A:$A,"ES - Gas",'Availability and Costs'!E:E,"&gt;"&amp;0)</f>
        <v>2</v>
      </c>
      <c r="M19" s="81">
        <f>COUNTIFS('Availability and Costs'!$A:$A,"ES - Gas",'Availability and Costs'!F:F,"&gt;"&amp;0)</f>
        <v>1</v>
      </c>
      <c r="N19" s="81">
        <f>COUNTIFS('Availability and Costs'!$A:$A,"ES - Gas",'Availability and Costs'!G:G,"&gt;"&amp;0)</f>
        <v>2</v>
      </c>
      <c r="O19" s="81">
        <f>ROUND(AVERAGE(L19:N19),0)</f>
        <v>2</v>
      </c>
      <c r="P19" s="81"/>
      <c r="Q19" s="95">
        <f>AVERAGEIF('Availability and Costs'!A:A,"ES - Gas",'Availability and Costs'!D:D)</f>
        <v>1105.8687500000001</v>
      </c>
      <c r="R19" s="153" t="s">
        <v>745</v>
      </c>
      <c r="S19" s="16"/>
      <c r="T19" s="16"/>
      <c r="U19" s="16" t="s">
        <v>7</v>
      </c>
      <c r="V19" s="16"/>
      <c r="W19" s="16"/>
      <c r="X19" s="16"/>
      <c r="Y19" s="16"/>
      <c r="Z19" s="16"/>
      <c r="AA19" s="16"/>
      <c r="AB19" s="16"/>
      <c r="AC19" s="16"/>
      <c r="AD19" s="81"/>
      <c r="AE19" s="16"/>
      <c r="AF19" s="239">
        <v>685</v>
      </c>
      <c r="AG19" s="239"/>
      <c r="AH19" s="239" t="s">
        <v>8</v>
      </c>
      <c r="AI19" s="81"/>
      <c r="AJ19" s="83">
        <v>28.295000000000002</v>
      </c>
      <c r="AK19" s="83">
        <v>23.279999999999994</v>
      </c>
      <c r="AL19" s="85" t="s">
        <v>7</v>
      </c>
      <c r="AM19" s="159">
        <v>30</v>
      </c>
      <c r="AN19" s="222">
        <v>0.54</v>
      </c>
      <c r="AO19" s="239" t="s">
        <v>8</v>
      </c>
      <c r="AP19" s="239" t="s">
        <v>8</v>
      </c>
      <c r="AQ19" s="188">
        <f>AJ18-AJ19</f>
        <v>1.504999999999999</v>
      </c>
      <c r="AR19" s="16">
        <v>1.220000000000006</v>
      </c>
      <c r="AS19" s="16"/>
      <c r="AT19" s="16" t="s">
        <v>740</v>
      </c>
      <c r="AU19" s="83">
        <v>16</v>
      </c>
      <c r="AV19" s="16"/>
    </row>
    <row r="20" spans="1:48" s="9" customFormat="1" x14ac:dyDescent="0.2">
      <c r="B20" s="10"/>
      <c r="C20" s="5"/>
      <c r="D20" s="72"/>
      <c r="E20" s="16"/>
      <c r="F20" s="82"/>
      <c r="G20" s="16"/>
      <c r="H20" s="16"/>
      <c r="I20" s="16"/>
      <c r="J20" s="16"/>
      <c r="K20" s="16"/>
      <c r="L20" s="16"/>
      <c r="M20" s="16"/>
      <c r="N20" s="16"/>
      <c r="O20" s="16"/>
      <c r="P20" s="16"/>
      <c r="Q20" s="88"/>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83"/>
      <c r="AV20" s="16"/>
    </row>
    <row r="21" spans="1:48" x14ac:dyDescent="0.2">
      <c r="A21" s="26" t="s">
        <v>20</v>
      </c>
      <c r="B21" s="27"/>
      <c r="C21" s="28"/>
      <c r="E21" s="16"/>
    </row>
    <row r="22" spans="1:48" x14ac:dyDescent="0.2">
      <c r="A22" s="29" t="s">
        <v>1</v>
      </c>
      <c r="B22" s="19"/>
      <c r="C22" s="30" t="s">
        <v>23</v>
      </c>
      <c r="E22" s="16"/>
    </row>
    <row r="23" spans="1:48" x14ac:dyDescent="0.2">
      <c r="A23" s="31" t="s">
        <v>7</v>
      </c>
      <c r="B23" s="2"/>
      <c r="C23" s="32" t="s">
        <v>21</v>
      </c>
    </row>
    <row r="24" spans="1:48" x14ac:dyDescent="0.2">
      <c r="A24" s="31" t="s">
        <v>8</v>
      </c>
      <c r="B24" s="2"/>
      <c r="C24" s="32" t="s">
        <v>22</v>
      </c>
    </row>
    <row r="25" spans="1:48" x14ac:dyDescent="0.2">
      <c r="A25" s="33" t="s">
        <v>24</v>
      </c>
      <c r="B25" s="3"/>
      <c r="C25" s="34" t="s">
        <v>25</v>
      </c>
    </row>
  </sheetData>
  <sheetProtection algorithmName="SHA-512" hashValue="Z7ybLpodXFY6Io/gtafH3+iXR07xdNPdGGhax/NFKiEBZ9NZtddacGotFM3aiOAc96iXYrRkFMro1TiIfPJxeQ==" saltValue="SwfLANw2IBuafoKSv6nfwg==" spinCount="100000" sheet="1" objects="1" scenarios="1"/>
  <autoFilter ref="A6:AV11"/>
  <mergeCells count="15">
    <mergeCell ref="AO5:AP5"/>
    <mergeCell ref="AW1:BF1"/>
    <mergeCell ref="AW5:BF5"/>
    <mergeCell ref="A1:C1"/>
    <mergeCell ref="D1:F1"/>
    <mergeCell ref="Q1:R1"/>
    <mergeCell ref="S1:U1"/>
    <mergeCell ref="L5:O5"/>
    <mergeCell ref="I5:K5"/>
    <mergeCell ref="G1:P1"/>
    <mergeCell ref="AF1:AV1"/>
    <mergeCell ref="AJ5:AK5"/>
    <mergeCell ref="AQ5:AR5"/>
    <mergeCell ref="AF5:AG5"/>
    <mergeCell ref="AH5:A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7"/>
  <sheetViews>
    <sheetView workbookViewId="0">
      <pane xSplit="2" ySplit="3" topLeftCell="C7" activePane="bottomRight" state="frozen"/>
      <selection pane="topRight" activeCell="C1" sqref="C1"/>
      <selection pane="bottomLeft" activeCell="A9" sqref="A9"/>
      <selection pane="bottomRight" activeCell="D1" sqref="D1"/>
    </sheetView>
  </sheetViews>
  <sheetFormatPr defaultRowHeight="12.75" x14ac:dyDescent="0.2"/>
  <cols>
    <col min="1" max="1" width="6.5703125" style="174" customWidth="1"/>
    <col min="2" max="2" width="37.42578125" style="185" customWidth="1"/>
    <col min="3" max="3" width="68.28515625" style="174" customWidth="1"/>
    <col min="4" max="4" width="47.7109375" style="182" customWidth="1"/>
    <col min="5" max="5" width="32.5703125" style="174" customWidth="1"/>
    <col min="6" max="6" width="42.42578125" style="182" customWidth="1"/>
    <col min="7" max="7" width="38.85546875" style="174" customWidth="1"/>
    <col min="8" max="8" width="49" style="174" customWidth="1"/>
    <col min="9" max="9" width="40.5703125" style="174" customWidth="1"/>
    <col min="10" max="10" width="32.5703125" style="174" customWidth="1"/>
    <col min="11" max="11" width="27.7109375" style="174" customWidth="1"/>
    <col min="12" max="12" width="32.5703125" style="174" customWidth="1"/>
    <col min="13" max="16384" width="9.140625" style="174"/>
  </cols>
  <sheetData>
    <row r="1" spans="1:12" ht="15" x14ac:dyDescent="0.2">
      <c r="A1" s="400"/>
      <c r="B1" s="401"/>
      <c r="C1" s="169" t="s">
        <v>701</v>
      </c>
      <c r="D1" s="170" t="s">
        <v>700</v>
      </c>
      <c r="E1" s="171" t="s">
        <v>760</v>
      </c>
      <c r="F1" s="171" t="s">
        <v>695</v>
      </c>
      <c r="G1" s="171" t="s">
        <v>763</v>
      </c>
      <c r="H1" s="171" t="s">
        <v>697</v>
      </c>
      <c r="I1" s="172" t="s">
        <v>696</v>
      </c>
      <c r="J1" s="173" t="s">
        <v>699</v>
      </c>
      <c r="K1" s="173" t="s">
        <v>762</v>
      </c>
      <c r="L1" s="172" t="s">
        <v>805</v>
      </c>
    </row>
    <row r="2" spans="1:12" ht="15" x14ac:dyDescent="0.2">
      <c r="A2" s="175"/>
      <c r="B2" s="141" t="s">
        <v>14</v>
      </c>
      <c r="C2" s="176">
        <v>2014</v>
      </c>
      <c r="D2" s="176">
        <v>2014</v>
      </c>
      <c r="E2" s="176">
        <v>2014</v>
      </c>
      <c r="F2" s="176"/>
      <c r="G2" s="176">
        <v>2014</v>
      </c>
      <c r="H2" s="176">
        <v>2015</v>
      </c>
      <c r="I2" s="177"/>
      <c r="J2" s="178">
        <v>2014</v>
      </c>
      <c r="K2" s="178">
        <v>2012</v>
      </c>
      <c r="L2" s="177">
        <v>2015</v>
      </c>
    </row>
    <row r="3" spans="1:12" ht="30" customHeight="1" x14ac:dyDescent="0.2">
      <c r="A3" s="179" t="s">
        <v>18</v>
      </c>
      <c r="B3" s="184" t="s">
        <v>761</v>
      </c>
      <c r="C3" s="176" t="s">
        <v>852</v>
      </c>
      <c r="D3" s="180" t="s">
        <v>802</v>
      </c>
      <c r="E3" s="176" t="s">
        <v>715</v>
      </c>
      <c r="F3" s="176">
        <v>16</v>
      </c>
      <c r="G3" s="176" t="s">
        <v>694</v>
      </c>
      <c r="H3" s="176">
        <v>28</v>
      </c>
      <c r="I3" s="177" t="s">
        <v>727</v>
      </c>
      <c r="J3" s="178" t="s">
        <v>735</v>
      </c>
      <c r="K3" s="178">
        <v>3</v>
      </c>
      <c r="L3" s="177">
        <v>5</v>
      </c>
    </row>
    <row r="4" spans="1:12" hidden="1" x14ac:dyDescent="0.2">
      <c r="A4" s="181">
        <f>COLUMN(A3)</f>
        <v>1</v>
      </c>
      <c r="B4" s="181">
        <f t="shared" ref="B4:L4" si="0">COLUMN(B3)</f>
        <v>2</v>
      </c>
      <c r="C4" s="181">
        <f t="shared" si="0"/>
        <v>3</v>
      </c>
      <c r="D4" s="181">
        <f t="shared" si="0"/>
        <v>4</v>
      </c>
      <c r="E4" s="181">
        <f t="shared" si="0"/>
        <v>5</v>
      </c>
      <c r="F4" s="181">
        <f t="shared" si="0"/>
        <v>6</v>
      </c>
      <c r="G4" s="181">
        <f t="shared" si="0"/>
        <v>7</v>
      </c>
      <c r="H4" s="181">
        <f t="shared" si="0"/>
        <v>8</v>
      </c>
      <c r="I4" s="181">
        <f t="shared" si="0"/>
        <v>9</v>
      </c>
      <c r="J4" s="181">
        <f t="shared" si="0"/>
        <v>10</v>
      </c>
      <c r="K4" s="181">
        <f t="shared" si="0"/>
        <v>11</v>
      </c>
      <c r="L4" s="181">
        <f t="shared" si="0"/>
        <v>12</v>
      </c>
    </row>
    <row r="5" spans="1:12" ht="41.25" customHeight="1" x14ac:dyDescent="0.2">
      <c r="A5" s="174">
        <f>INDEX('Measure Quantitative Data'!$B$8:$B$19,MATCH('Measure Qualitative Data'!B5,'Measure Quantitative Data'!$C$8:$C$19,0))</f>
        <v>1</v>
      </c>
      <c r="B5" s="160" t="s">
        <v>62</v>
      </c>
      <c r="C5" s="206" t="s">
        <v>818</v>
      </c>
      <c r="D5" s="206" t="s">
        <v>691</v>
      </c>
      <c r="E5" s="206" t="s">
        <v>766</v>
      </c>
      <c r="F5" s="205"/>
      <c r="G5" s="206"/>
      <c r="I5" s="206" t="s">
        <v>728</v>
      </c>
      <c r="J5" s="204" t="s">
        <v>734</v>
      </c>
      <c r="K5" s="204" t="s">
        <v>765</v>
      </c>
      <c r="L5" s="206"/>
    </row>
    <row r="6" spans="1:12" ht="54.75" customHeight="1" x14ac:dyDescent="0.2">
      <c r="A6" s="174">
        <f>INDEX('Measure Quantitative Data'!$B$8:$B$19,MATCH('Measure Qualitative Data'!B6,'Measure Quantitative Data'!$C$8:$C$19,0))</f>
        <v>2</v>
      </c>
      <c r="B6" s="160" t="s">
        <v>67</v>
      </c>
      <c r="C6" s="206" t="s">
        <v>815</v>
      </c>
      <c r="D6" s="206" t="s">
        <v>687</v>
      </c>
      <c r="E6" s="206"/>
      <c r="F6" s="402" t="s">
        <v>867</v>
      </c>
      <c r="G6" s="206" t="s">
        <v>686</v>
      </c>
      <c r="H6" s="206" t="s">
        <v>855</v>
      </c>
      <c r="I6" s="206" t="s">
        <v>689</v>
      </c>
      <c r="J6" s="204"/>
      <c r="K6" s="204"/>
      <c r="L6" s="206" t="s">
        <v>809</v>
      </c>
    </row>
    <row r="7" spans="1:12" ht="86.25" customHeight="1" x14ac:dyDescent="0.2">
      <c r="A7" s="174">
        <f>INDEX('Measure Quantitative Data'!$B$8:$B$19,MATCH('Measure Qualitative Data'!B7,'Measure Quantitative Data'!$C$8:$C$19,0))</f>
        <v>3</v>
      </c>
      <c r="B7" s="160" t="s">
        <v>821</v>
      </c>
      <c r="C7" s="221" t="s">
        <v>866</v>
      </c>
      <c r="D7" s="206" t="s">
        <v>816</v>
      </c>
      <c r="E7" s="206"/>
      <c r="F7" s="402"/>
      <c r="G7" s="206"/>
      <c r="H7" s="206" t="s">
        <v>854</v>
      </c>
      <c r="I7" s="206" t="s">
        <v>731</v>
      </c>
      <c r="J7" s="204"/>
      <c r="K7" s="204"/>
      <c r="L7" s="206"/>
    </row>
    <row r="8" spans="1:12" ht="89.25" customHeight="1" x14ac:dyDescent="0.2">
      <c r="A8" s="174">
        <f>INDEX('Measure Quantitative Data'!$B$8:$B$19,MATCH('Measure Qualitative Data'!B8,'Measure Quantitative Data'!$C$8:$C$19,0))</f>
        <v>4</v>
      </c>
      <c r="B8" s="160" t="s">
        <v>822</v>
      </c>
      <c r="C8" s="207" t="s">
        <v>853</v>
      </c>
      <c r="D8" s="206" t="s">
        <v>817</v>
      </c>
      <c r="E8" s="206"/>
      <c r="F8" s="206" t="s">
        <v>764</v>
      </c>
      <c r="G8" s="206" t="s">
        <v>771</v>
      </c>
      <c r="I8" s="206" t="s">
        <v>684</v>
      </c>
      <c r="J8" s="204"/>
      <c r="K8" s="204"/>
      <c r="L8" s="206"/>
    </row>
    <row r="9" spans="1:12" ht="25.5" customHeight="1" x14ac:dyDescent="0.2">
      <c r="A9" s="174">
        <f>INDEX('Measure Quantitative Data'!$B$8:$B$19,MATCH('Measure Qualitative Data'!B9,'Measure Quantitative Data'!$C$8:$C$19,0))</f>
        <v>5</v>
      </c>
      <c r="B9" s="160" t="s">
        <v>63</v>
      </c>
      <c r="C9" s="403" t="s">
        <v>881</v>
      </c>
      <c r="D9" s="206" t="s">
        <v>759</v>
      </c>
      <c r="E9" s="206"/>
      <c r="F9" s="223"/>
      <c r="G9" s="206"/>
      <c r="I9" s="204" t="s">
        <v>729</v>
      </c>
      <c r="J9" s="204"/>
      <c r="K9" s="204"/>
      <c r="L9" s="204"/>
    </row>
    <row r="10" spans="1:12" ht="31.5" customHeight="1" x14ac:dyDescent="0.2">
      <c r="A10" s="174">
        <f>INDEX('Measure Quantitative Data'!$B$8:$B$19,MATCH('Measure Qualitative Data'!B10,'Measure Quantitative Data'!$C$8:$C$19,0))</f>
        <v>6</v>
      </c>
      <c r="B10" s="160" t="s">
        <v>64</v>
      </c>
      <c r="C10" s="403"/>
      <c r="D10" s="206" t="s">
        <v>692</v>
      </c>
      <c r="E10" s="206"/>
      <c r="F10" s="223"/>
      <c r="G10" s="206"/>
      <c r="I10" s="204"/>
      <c r="J10" s="204"/>
      <c r="K10" s="204"/>
      <c r="L10" s="204"/>
    </row>
    <row r="11" spans="1:12" ht="38.25" x14ac:dyDescent="0.2">
      <c r="A11" s="174">
        <f>INDEX('Measure Quantitative Data'!$B$8:$B$19,MATCH('Measure Qualitative Data'!B11,'Measure Quantitative Data'!$C$8:$C$19,0))</f>
        <v>7</v>
      </c>
      <c r="B11" s="160" t="s">
        <v>65</v>
      </c>
      <c r="C11" s="403"/>
      <c r="D11" s="206" t="s">
        <v>803</v>
      </c>
      <c r="E11" s="206"/>
      <c r="F11" s="223"/>
      <c r="G11" s="206"/>
      <c r="I11" s="204"/>
      <c r="J11" s="204"/>
      <c r="K11" s="204"/>
      <c r="L11" s="204"/>
    </row>
    <row r="12" spans="1:12" ht="25.5" x14ac:dyDescent="0.2">
      <c r="A12" s="174">
        <f>INDEX('Measure Quantitative Data'!$B$8:$B$19,MATCH('Measure Qualitative Data'!B12,'Measure Quantitative Data'!$C$8:$C$19,0))</f>
        <v>8</v>
      </c>
      <c r="B12" s="160" t="s">
        <v>68</v>
      </c>
      <c r="C12" s="403" t="s">
        <v>882</v>
      </c>
      <c r="D12" s="206" t="s">
        <v>688</v>
      </c>
      <c r="E12" s="206"/>
      <c r="F12" s="223"/>
      <c r="G12" s="206" t="s">
        <v>686</v>
      </c>
      <c r="H12" s="206"/>
      <c r="I12" s="206" t="s">
        <v>758</v>
      </c>
      <c r="J12" s="204"/>
      <c r="K12" s="204"/>
      <c r="L12" s="206" t="s">
        <v>809</v>
      </c>
    </row>
    <row r="13" spans="1:12" ht="25.5" x14ac:dyDescent="0.2">
      <c r="A13" s="174">
        <f>INDEX('Measure Quantitative Data'!$B$8:$B$19,MATCH('Measure Qualitative Data'!B13,'Measure Quantitative Data'!$C$8:$C$19,0))</f>
        <v>9</v>
      </c>
      <c r="B13" s="160" t="s">
        <v>69</v>
      </c>
      <c r="C13" s="403"/>
      <c r="D13" s="206" t="s">
        <v>688</v>
      </c>
      <c r="E13" s="206"/>
      <c r="F13" s="223"/>
      <c r="G13" s="206" t="s">
        <v>686</v>
      </c>
      <c r="H13" s="206"/>
      <c r="I13" s="206" t="s">
        <v>758</v>
      </c>
      <c r="J13" s="204"/>
      <c r="K13" s="204"/>
      <c r="L13" s="206" t="s">
        <v>809</v>
      </c>
    </row>
    <row r="14" spans="1:12" ht="38.25" x14ac:dyDescent="0.2">
      <c r="A14" s="174">
        <f>INDEX('Measure Quantitative Data'!$B$8:$B$19,MATCH('Measure Qualitative Data'!B14,'Measure Quantitative Data'!$C$8:$C$19,0))</f>
        <v>10</v>
      </c>
      <c r="B14" s="160" t="s">
        <v>70</v>
      </c>
      <c r="C14" s="403"/>
      <c r="D14" s="206" t="s">
        <v>804</v>
      </c>
      <c r="E14" s="206"/>
      <c r="F14" s="223"/>
      <c r="G14" s="206" t="s">
        <v>686</v>
      </c>
      <c r="H14" s="206"/>
      <c r="I14" s="206" t="s">
        <v>758</v>
      </c>
      <c r="J14" s="204"/>
      <c r="K14" s="204"/>
      <c r="L14" s="206" t="s">
        <v>809</v>
      </c>
    </row>
    <row r="15" spans="1:12" ht="38.25" x14ac:dyDescent="0.2">
      <c r="A15" s="174">
        <f>INDEX('Measure Quantitative Data'!$B$8:$B$19,MATCH('Measure Qualitative Data'!B15,'Measure Quantitative Data'!$C$8:$C$19,0))</f>
        <v>11</v>
      </c>
      <c r="B15" s="160" t="s">
        <v>66</v>
      </c>
      <c r="C15" s="206" t="s">
        <v>810</v>
      </c>
      <c r="D15" s="183" t="s">
        <v>725</v>
      </c>
      <c r="E15" s="206"/>
      <c r="F15" s="223"/>
      <c r="G15" s="207"/>
      <c r="H15" s="206" t="s">
        <v>690</v>
      </c>
      <c r="I15" s="206" t="s">
        <v>730</v>
      </c>
      <c r="J15" s="204"/>
      <c r="K15" s="204"/>
      <c r="L15" s="206"/>
    </row>
    <row r="16" spans="1:12" ht="45" customHeight="1" x14ac:dyDescent="0.2">
      <c r="A16" s="174">
        <f>INDEX('Measure Quantitative Data'!$B$8:$B$19,MATCH('Measure Qualitative Data'!B16,'Measure Quantitative Data'!$C$8:$C$19,0))</f>
        <v>12</v>
      </c>
      <c r="B16" s="160" t="s">
        <v>71</v>
      </c>
      <c r="C16" s="206" t="s">
        <v>819</v>
      </c>
      <c r="D16" s="206" t="s">
        <v>726</v>
      </c>
      <c r="E16" s="206"/>
      <c r="F16" s="223"/>
      <c r="G16" s="206" t="s">
        <v>686</v>
      </c>
      <c r="H16" s="206" t="s">
        <v>856</v>
      </c>
      <c r="I16" s="206" t="s">
        <v>685</v>
      </c>
      <c r="J16" s="204"/>
      <c r="K16" s="204"/>
      <c r="L16" s="206" t="s">
        <v>809</v>
      </c>
    </row>
    <row r="17" spans="2:2" x14ac:dyDescent="0.2">
      <c r="B17" s="160"/>
    </row>
  </sheetData>
  <sheetProtection algorithmName="SHA-512" hashValue="rj9DpFkrR5USo6HdSHdb4msIDAYJWEF1NmKB+MHjqZ07HBR8yAXyu9Jp7VJXW6w4Jhl0d+CMyxODbJa3fljZ4Q==" saltValue="3yM9Q/I7C0eQYqlH4xFv6Q==" spinCount="100000" sheet="1" objects="1" scenarios="1"/>
  <mergeCells count="4">
    <mergeCell ref="A1:B1"/>
    <mergeCell ref="F6:F7"/>
    <mergeCell ref="C12:C14"/>
    <mergeCell ref="C9:C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6"/>
  <sheetViews>
    <sheetView workbookViewId="0">
      <selection sqref="A1:D1"/>
    </sheetView>
  </sheetViews>
  <sheetFormatPr defaultColWidth="8.85546875" defaultRowHeight="15" x14ac:dyDescent="0.25"/>
  <cols>
    <col min="1" max="1" width="33" style="123" bestFit="1" customWidth="1"/>
    <col min="2" max="3" width="63" style="123" customWidth="1"/>
    <col min="4" max="4" width="13.5703125" style="123" customWidth="1"/>
    <col min="5" max="5" width="3.42578125" style="123" customWidth="1"/>
    <col min="6" max="6" width="10.7109375" style="123" customWidth="1"/>
    <col min="7" max="7" width="11.85546875" style="123" customWidth="1"/>
    <col min="8" max="16384" width="8.85546875" style="123"/>
  </cols>
  <sheetData>
    <row r="1" spans="1:7" x14ac:dyDescent="0.25">
      <c r="A1" s="404" t="s">
        <v>6</v>
      </c>
      <c r="B1" s="404"/>
      <c r="C1" s="404"/>
      <c r="D1" s="404"/>
      <c r="F1" s="135"/>
    </row>
    <row r="2" spans="1:7" x14ac:dyDescent="0.25">
      <c r="A2" s="137" t="s">
        <v>46</v>
      </c>
      <c r="B2" s="137" t="s">
        <v>47</v>
      </c>
      <c r="C2" s="136" t="s">
        <v>48</v>
      </c>
      <c r="D2" s="136" t="s">
        <v>9</v>
      </c>
      <c r="G2" s="126"/>
    </row>
    <row r="3" spans="1:7" ht="165" x14ac:dyDescent="0.25">
      <c r="A3" s="168" t="s">
        <v>757</v>
      </c>
      <c r="B3" s="134" t="s">
        <v>633</v>
      </c>
      <c r="C3" s="127">
        <v>42005</v>
      </c>
      <c r="D3" s="128">
        <v>1</v>
      </c>
    </row>
    <row r="4" spans="1:7" ht="150" x14ac:dyDescent="0.25">
      <c r="A4" s="133" t="s">
        <v>123</v>
      </c>
      <c r="B4" s="227" t="s">
        <v>883</v>
      </c>
      <c r="C4" s="127">
        <v>42005</v>
      </c>
      <c r="D4" s="128">
        <v>18</v>
      </c>
    </row>
    <row r="5" spans="1:7" ht="90" x14ac:dyDescent="0.25">
      <c r="A5" s="133" t="s">
        <v>123</v>
      </c>
      <c r="B5" s="138" t="s">
        <v>679</v>
      </c>
      <c r="C5" s="127">
        <v>34455</v>
      </c>
      <c r="D5" s="128">
        <v>18</v>
      </c>
    </row>
    <row r="6" spans="1:7" ht="105" x14ac:dyDescent="0.25">
      <c r="A6" s="203" t="s">
        <v>123</v>
      </c>
      <c r="B6" s="227" t="s">
        <v>884</v>
      </c>
      <c r="C6" s="228" t="s">
        <v>820</v>
      </c>
      <c r="D6" s="123">
        <v>37</v>
      </c>
    </row>
    <row r="7" spans="1:7" x14ac:dyDescent="0.25">
      <c r="A7" s="133"/>
      <c r="B7" s="132"/>
      <c r="C7" s="127"/>
    </row>
    <row r="8" spans="1:7" x14ac:dyDescent="0.25">
      <c r="A8" s="131"/>
      <c r="B8" s="129"/>
      <c r="C8" s="127"/>
    </row>
    <row r="9" spans="1:7" x14ac:dyDescent="0.25">
      <c r="A9" s="131"/>
      <c r="B9" s="125"/>
      <c r="C9" s="124"/>
      <c r="D9" s="9"/>
      <c r="E9" s="9"/>
    </row>
    <row r="10" spans="1:7" x14ac:dyDescent="0.25">
      <c r="A10" s="131"/>
      <c r="B10" s="125"/>
      <c r="C10" s="124"/>
      <c r="D10" s="128"/>
      <c r="E10" s="9"/>
    </row>
    <row r="11" spans="1:7" x14ac:dyDescent="0.25">
      <c r="A11" s="126"/>
      <c r="B11" s="125"/>
      <c r="C11" s="124"/>
      <c r="D11" s="128"/>
      <c r="E11" s="9"/>
    </row>
    <row r="12" spans="1:7" x14ac:dyDescent="0.25">
      <c r="A12" s="133"/>
      <c r="B12" s="129"/>
      <c r="C12" s="127"/>
    </row>
    <row r="13" spans="1:7" x14ac:dyDescent="0.25">
      <c r="A13" s="133"/>
      <c r="B13" s="129"/>
      <c r="C13" s="127"/>
    </row>
    <row r="14" spans="1:7" x14ac:dyDescent="0.25">
      <c r="A14" s="133"/>
      <c r="B14" s="129"/>
      <c r="C14" s="127"/>
    </row>
    <row r="15" spans="1:7" x14ac:dyDescent="0.25">
      <c r="A15" s="133"/>
      <c r="B15" s="132"/>
      <c r="C15" s="127"/>
    </row>
    <row r="16" spans="1:7" x14ac:dyDescent="0.25">
      <c r="A16" s="133"/>
      <c r="B16" s="132"/>
      <c r="C16" s="127"/>
    </row>
    <row r="17" spans="1:5" x14ac:dyDescent="0.25">
      <c r="A17" s="131"/>
      <c r="B17" s="129"/>
      <c r="C17" s="127"/>
      <c r="D17" s="128"/>
    </row>
    <row r="18" spans="1:5" x14ac:dyDescent="0.25">
      <c r="A18" s="131"/>
      <c r="B18" s="129"/>
      <c r="C18" s="127"/>
      <c r="D18" s="128"/>
      <c r="E18" s="9"/>
    </row>
    <row r="19" spans="1:5" x14ac:dyDescent="0.25">
      <c r="A19" s="131"/>
      <c r="B19" s="125"/>
      <c r="C19" s="124"/>
      <c r="D19" s="9"/>
      <c r="E19" s="9"/>
    </row>
    <row r="20" spans="1:5" x14ac:dyDescent="0.25">
      <c r="A20" s="131"/>
      <c r="B20" s="125"/>
      <c r="C20" s="124"/>
      <c r="D20" s="128"/>
      <c r="E20" s="9"/>
    </row>
    <row r="21" spans="1:5" x14ac:dyDescent="0.25">
      <c r="A21" s="126"/>
      <c r="B21" s="125"/>
      <c r="C21" s="124"/>
      <c r="D21" s="128"/>
      <c r="E21" s="9"/>
    </row>
    <row r="22" spans="1:5" x14ac:dyDescent="0.25">
      <c r="A22" s="126"/>
      <c r="B22" s="125"/>
      <c r="C22" s="124"/>
      <c r="D22" s="9"/>
      <c r="E22" s="9"/>
    </row>
    <row r="23" spans="1:5" x14ac:dyDescent="0.25">
      <c r="A23" s="131"/>
      <c r="B23" s="129"/>
      <c r="C23" s="127"/>
      <c r="D23" s="128"/>
      <c r="E23" s="9"/>
    </row>
    <row r="24" spans="1:5" x14ac:dyDescent="0.25">
      <c r="A24" s="131"/>
      <c r="B24" s="129"/>
      <c r="C24" s="127"/>
      <c r="D24" s="9"/>
      <c r="E24" s="9"/>
    </row>
    <row r="25" spans="1:5" x14ac:dyDescent="0.25">
      <c r="A25" s="130"/>
      <c r="B25" s="129"/>
      <c r="C25" s="127"/>
      <c r="D25" s="128"/>
      <c r="E25" s="9"/>
    </row>
    <row r="26" spans="1:5" x14ac:dyDescent="0.25">
      <c r="A26" s="126"/>
      <c r="B26" s="125"/>
      <c r="C26" s="127"/>
      <c r="D26" s="9"/>
      <c r="E26" s="9"/>
    </row>
    <row r="27" spans="1:5" x14ac:dyDescent="0.25">
      <c r="A27" s="126"/>
      <c r="B27" s="125"/>
      <c r="C27" s="124"/>
      <c r="D27" s="9"/>
      <c r="E27" s="9"/>
    </row>
    <row r="28" spans="1:5" x14ac:dyDescent="0.25">
      <c r="A28" s="126"/>
      <c r="B28" s="125"/>
      <c r="C28" s="124"/>
      <c r="D28" s="9"/>
      <c r="E28" s="9"/>
    </row>
    <row r="29" spans="1:5" x14ac:dyDescent="0.25">
      <c r="A29" s="126"/>
      <c r="B29" s="125"/>
      <c r="C29" s="124"/>
      <c r="D29" s="9"/>
      <c r="E29" s="9"/>
    </row>
    <row r="30" spans="1:5" x14ac:dyDescent="0.25">
      <c r="A30" s="126"/>
      <c r="B30" s="125"/>
      <c r="C30" s="124"/>
    </row>
    <row r="31" spans="1:5" x14ac:dyDescent="0.25">
      <c r="A31" s="126"/>
      <c r="B31" s="125"/>
      <c r="C31" s="124"/>
    </row>
    <row r="32" spans="1:5" x14ac:dyDescent="0.25">
      <c r="A32" s="126"/>
      <c r="B32" s="125"/>
      <c r="C32" s="124"/>
    </row>
    <row r="33" spans="1:3" x14ac:dyDescent="0.25">
      <c r="A33" s="126"/>
      <c r="B33" s="125"/>
      <c r="C33" s="124"/>
    </row>
    <row r="34" spans="1:3" x14ac:dyDescent="0.25">
      <c r="A34" s="126"/>
      <c r="B34" s="125"/>
      <c r="C34" s="124"/>
    </row>
    <row r="35" spans="1:3" x14ac:dyDescent="0.25">
      <c r="A35" s="126"/>
      <c r="B35" s="125"/>
      <c r="C35" s="124"/>
    </row>
    <row r="36" spans="1:3" x14ac:dyDescent="0.25">
      <c r="A36" s="126"/>
      <c r="B36" s="125"/>
      <c r="C36" s="124"/>
    </row>
  </sheetData>
  <sheetProtection algorithmName="SHA-512" hashValue="6wgUuCh0ANQQW+bWUWkHfRAmjzPN2aIrkluVueiHM/DYKvqvM//O95hmnmxmdz1kXfGKGWBNftdtyAe92X9ooA==" saltValue="gZD+DmyR+pLfK/SlY0CRgg==" spinCount="100000" sheet="1" objects="1" scenarios="1"/>
  <mergeCells count="1">
    <mergeCell ref="A1:D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186"/>
  <sheetViews>
    <sheetView workbookViewId="0">
      <pane ySplit="2" topLeftCell="A3" activePane="bottomLeft" state="frozen"/>
      <selection pane="bottomLeft"/>
    </sheetView>
  </sheetViews>
  <sheetFormatPr defaultColWidth="0" defaultRowHeight="12.75" zeroHeight="1" x14ac:dyDescent="0.2"/>
  <cols>
    <col min="1" max="1" width="9.140625" style="9" customWidth="1"/>
    <col min="2" max="2" width="38.5703125" style="9" bestFit="1" customWidth="1"/>
    <col min="3" max="3" width="14.7109375" style="9" customWidth="1"/>
    <col min="4" max="4" width="120.28515625" style="9" bestFit="1" customWidth="1"/>
    <col min="5" max="5" width="65.140625" style="9" customWidth="1"/>
    <col min="6" max="6" width="21.140625" style="9" hidden="1" customWidth="1"/>
    <col min="7" max="16382" width="9.140625" style="9" hidden="1"/>
    <col min="16383" max="16383" width="2.85546875" style="9" hidden="1" customWidth="1"/>
    <col min="16384" max="16384" width="2.85546875" style="9" hidden="1"/>
  </cols>
  <sheetData>
    <row r="1" spans="1:8" ht="15" x14ac:dyDescent="0.25">
      <c r="A1" s="12"/>
      <c r="B1" s="12" t="s">
        <v>10</v>
      </c>
      <c r="C1" s="12" t="s">
        <v>11</v>
      </c>
      <c r="D1" s="12" t="s">
        <v>12</v>
      </c>
      <c r="E1" s="12" t="s">
        <v>13</v>
      </c>
      <c r="F1" s="38"/>
    </row>
    <row r="2" spans="1:8" ht="18" thickBot="1" x14ac:dyDescent="0.35">
      <c r="A2" s="13" t="s">
        <v>19</v>
      </c>
      <c r="B2" s="13"/>
      <c r="C2" s="13"/>
      <c r="D2" s="13"/>
      <c r="E2" s="13"/>
    </row>
    <row r="3" spans="1:8" s="14" customFormat="1" ht="15.75" thickTop="1" x14ac:dyDescent="0.25">
      <c r="A3" s="6">
        <v>1</v>
      </c>
      <c r="B3" s="20" t="s">
        <v>93</v>
      </c>
      <c r="C3" s="75">
        <v>41778</v>
      </c>
      <c r="D3" s="9" t="s">
        <v>78</v>
      </c>
      <c r="E3" s="15" t="s">
        <v>79</v>
      </c>
      <c r="F3" s="4">
        <v>41918</v>
      </c>
      <c r="G3" s="9" t="s">
        <v>15</v>
      </c>
      <c r="H3" s="9" t="s">
        <v>80</v>
      </c>
    </row>
    <row r="4" spans="1:8" ht="15" x14ac:dyDescent="0.25">
      <c r="A4" s="6">
        <v>2</v>
      </c>
      <c r="B4" s="9" t="s">
        <v>103</v>
      </c>
      <c r="C4" s="9">
        <v>2010</v>
      </c>
      <c r="D4" s="9" t="s">
        <v>104</v>
      </c>
      <c r="E4" s="15" t="s">
        <v>105</v>
      </c>
      <c r="F4" s="4">
        <v>41919</v>
      </c>
    </row>
    <row r="5" spans="1:8" ht="15" x14ac:dyDescent="0.25">
      <c r="A5" s="6">
        <v>3</v>
      </c>
      <c r="B5" s="9" t="s">
        <v>106</v>
      </c>
      <c r="C5" s="80">
        <v>41151</v>
      </c>
      <c r="D5" s="6" t="s">
        <v>107</v>
      </c>
      <c r="E5" s="15" t="s">
        <v>108</v>
      </c>
      <c r="F5" s="4">
        <v>41919</v>
      </c>
      <c r="H5" s="9" t="s">
        <v>109</v>
      </c>
    </row>
    <row r="6" spans="1:8" ht="15" x14ac:dyDescent="0.25">
      <c r="A6" s="6">
        <v>4</v>
      </c>
      <c r="B6" s="9" t="s">
        <v>110</v>
      </c>
      <c r="C6" s="75">
        <v>40659</v>
      </c>
      <c r="D6" s="9" t="s">
        <v>111</v>
      </c>
      <c r="E6" s="15" t="s">
        <v>112</v>
      </c>
      <c r="F6" s="4">
        <v>41919</v>
      </c>
      <c r="G6" s="9" t="s">
        <v>15</v>
      </c>
      <c r="H6" s="9" t="s">
        <v>113</v>
      </c>
    </row>
    <row r="7" spans="1:8" ht="15" x14ac:dyDescent="0.25">
      <c r="A7" s="6">
        <v>5</v>
      </c>
      <c r="B7" s="9" t="s">
        <v>93</v>
      </c>
      <c r="C7" s="9">
        <v>2014</v>
      </c>
      <c r="D7" s="9" t="s">
        <v>114</v>
      </c>
      <c r="E7" s="15" t="s">
        <v>115</v>
      </c>
      <c r="F7" s="4">
        <v>41919</v>
      </c>
      <c r="G7" s="9" t="s">
        <v>15</v>
      </c>
    </row>
    <row r="8" spans="1:8" ht="15" x14ac:dyDescent="0.25">
      <c r="A8" s="6">
        <v>6</v>
      </c>
      <c r="B8" s="9" t="s">
        <v>93</v>
      </c>
      <c r="C8" s="75">
        <v>41437</v>
      </c>
      <c r="D8" s="9" t="s">
        <v>116</v>
      </c>
      <c r="E8" s="15" t="s">
        <v>117</v>
      </c>
      <c r="F8" s="4">
        <v>41926</v>
      </c>
      <c r="G8" s="9" t="s">
        <v>15</v>
      </c>
    </row>
    <row r="9" spans="1:8" ht="15" x14ac:dyDescent="0.25">
      <c r="A9" s="6">
        <v>7</v>
      </c>
      <c r="B9" s="9" t="s">
        <v>93</v>
      </c>
      <c r="C9" s="17">
        <v>41852</v>
      </c>
      <c r="D9" s="9" t="s">
        <v>121</v>
      </c>
      <c r="E9" s="15" t="s">
        <v>122</v>
      </c>
      <c r="F9" s="4">
        <v>41926</v>
      </c>
      <c r="G9" s="9" t="s">
        <v>15</v>
      </c>
    </row>
    <row r="10" spans="1:8" ht="15" x14ac:dyDescent="0.25">
      <c r="A10" s="6">
        <v>8</v>
      </c>
      <c r="B10" s="9" t="s">
        <v>123</v>
      </c>
      <c r="C10" s="9">
        <v>2014</v>
      </c>
      <c r="D10" s="9" t="s">
        <v>124</v>
      </c>
      <c r="E10" s="15" t="s">
        <v>125</v>
      </c>
      <c r="F10" s="4">
        <v>41926</v>
      </c>
      <c r="G10" s="9" t="s">
        <v>15</v>
      </c>
    </row>
    <row r="11" spans="1:8" ht="15" x14ac:dyDescent="0.25">
      <c r="A11" s="6">
        <v>9</v>
      </c>
      <c r="B11" s="9" t="s">
        <v>93</v>
      </c>
      <c r="C11" s="9">
        <v>2014</v>
      </c>
      <c r="D11" s="9" t="s">
        <v>126</v>
      </c>
      <c r="E11" s="15" t="s">
        <v>127</v>
      </c>
      <c r="F11" s="4">
        <v>41926</v>
      </c>
      <c r="G11" s="9" t="s">
        <v>15</v>
      </c>
      <c r="H11" s="9" t="s">
        <v>128</v>
      </c>
    </row>
    <row r="12" spans="1:8" ht="15" x14ac:dyDescent="0.25">
      <c r="A12" s="6">
        <v>10</v>
      </c>
      <c r="B12" s="9" t="s">
        <v>93</v>
      </c>
      <c r="C12" s="17">
        <v>40848</v>
      </c>
      <c r="D12" s="9" t="s">
        <v>129</v>
      </c>
      <c r="E12" s="15" t="s">
        <v>130</v>
      </c>
      <c r="F12" s="4">
        <v>41926</v>
      </c>
      <c r="G12" s="9" t="s">
        <v>15</v>
      </c>
    </row>
    <row r="13" spans="1:8" ht="15" x14ac:dyDescent="0.25">
      <c r="A13" s="6">
        <v>11</v>
      </c>
      <c r="B13" s="9" t="s">
        <v>132</v>
      </c>
      <c r="C13" s="9">
        <v>2013</v>
      </c>
      <c r="D13" s="9" t="s">
        <v>724</v>
      </c>
      <c r="E13" s="15" t="s">
        <v>133</v>
      </c>
      <c r="F13" s="4">
        <v>41926</v>
      </c>
    </row>
    <row r="14" spans="1:8" ht="15" x14ac:dyDescent="0.25">
      <c r="A14" s="6">
        <v>12</v>
      </c>
      <c r="B14" s="9" t="s">
        <v>134</v>
      </c>
      <c r="C14" s="9">
        <v>2011</v>
      </c>
      <c r="D14" s="9" t="s">
        <v>627</v>
      </c>
      <c r="E14" s="15" t="s">
        <v>135</v>
      </c>
      <c r="F14" s="4">
        <v>41926</v>
      </c>
    </row>
    <row r="15" spans="1:8" ht="15" x14ac:dyDescent="0.25">
      <c r="A15" s="6">
        <v>13</v>
      </c>
      <c r="B15" s="9" t="s">
        <v>93</v>
      </c>
      <c r="C15" s="9">
        <v>2014</v>
      </c>
      <c r="D15" s="9" t="s">
        <v>628</v>
      </c>
      <c r="E15" s="15" t="s">
        <v>136</v>
      </c>
      <c r="F15" s="4">
        <v>41926</v>
      </c>
    </row>
    <row r="16" spans="1:8" ht="15" x14ac:dyDescent="0.25">
      <c r="A16" s="6">
        <v>14</v>
      </c>
      <c r="B16" s="9" t="s">
        <v>139</v>
      </c>
      <c r="C16" s="9">
        <v>2014</v>
      </c>
      <c r="D16" s="9" t="s">
        <v>630</v>
      </c>
      <c r="E16" s="15" t="s">
        <v>140</v>
      </c>
      <c r="F16" s="4">
        <v>41926</v>
      </c>
    </row>
    <row r="17" spans="1:8" ht="14.25" customHeight="1" x14ac:dyDescent="0.25">
      <c r="A17" s="6">
        <v>15</v>
      </c>
      <c r="B17" s="9" t="s">
        <v>93</v>
      </c>
      <c r="C17" s="9">
        <v>2014</v>
      </c>
      <c r="D17" s="9" t="s">
        <v>631</v>
      </c>
      <c r="E17" s="15" t="s">
        <v>141</v>
      </c>
      <c r="F17" s="4">
        <v>41926</v>
      </c>
      <c r="G17" s="14"/>
      <c r="H17" s="14"/>
    </row>
    <row r="18" spans="1:8" x14ac:dyDescent="0.2">
      <c r="A18" s="6">
        <v>16</v>
      </c>
      <c r="B18" s="9" t="s">
        <v>626</v>
      </c>
      <c r="C18" s="9">
        <v>2014</v>
      </c>
      <c r="D18" s="9" t="s">
        <v>632</v>
      </c>
      <c r="E18" t="s">
        <v>753</v>
      </c>
      <c r="F18" s="4">
        <v>41926</v>
      </c>
      <c r="G18" s="14"/>
      <c r="H18" s="14"/>
    </row>
    <row r="19" spans="1:8" ht="15" x14ac:dyDescent="0.25">
      <c r="A19" s="6">
        <v>17</v>
      </c>
      <c r="B19" s="9" t="s">
        <v>110</v>
      </c>
      <c r="C19" s="75">
        <v>40659</v>
      </c>
      <c r="D19" s="9" t="s">
        <v>625</v>
      </c>
      <c r="E19" s="15" t="s">
        <v>112</v>
      </c>
      <c r="F19" s="4">
        <v>41926</v>
      </c>
    </row>
    <row r="20" spans="1:8" ht="15" x14ac:dyDescent="0.25">
      <c r="A20" s="6">
        <v>18</v>
      </c>
      <c r="B20" s="9" t="s">
        <v>81</v>
      </c>
      <c r="C20" s="9">
        <v>2014</v>
      </c>
      <c r="D20" s="14" t="s">
        <v>640</v>
      </c>
      <c r="E20" s="15" t="s">
        <v>634</v>
      </c>
      <c r="F20" s="4">
        <v>41926</v>
      </c>
    </row>
    <row r="21" spans="1:8" ht="15" x14ac:dyDescent="0.25">
      <c r="A21" s="6">
        <v>19</v>
      </c>
      <c r="B21" s="9" t="s">
        <v>639</v>
      </c>
      <c r="C21" s="9">
        <v>2014</v>
      </c>
      <c r="D21" s="14" t="s">
        <v>639</v>
      </c>
      <c r="E21" s="15" t="s">
        <v>636</v>
      </c>
      <c r="F21" s="4">
        <v>41926</v>
      </c>
    </row>
    <row r="22" spans="1:8" ht="15" x14ac:dyDescent="0.25">
      <c r="A22" s="6">
        <v>20</v>
      </c>
      <c r="B22" s="9" t="s">
        <v>163</v>
      </c>
      <c r="C22" s="9">
        <v>2014</v>
      </c>
      <c r="D22" s="14" t="s">
        <v>163</v>
      </c>
      <c r="E22" s="15" t="s">
        <v>637</v>
      </c>
      <c r="F22" s="4">
        <v>41926</v>
      </c>
    </row>
    <row r="23" spans="1:8" ht="15" x14ac:dyDescent="0.25">
      <c r="A23" s="6">
        <v>21</v>
      </c>
      <c r="B23" s="9" t="s">
        <v>118</v>
      </c>
      <c r="C23" s="9">
        <v>2014</v>
      </c>
      <c r="D23" s="14" t="s">
        <v>118</v>
      </c>
      <c r="E23" s="15" t="s">
        <v>638</v>
      </c>
      <c r="F23" s="4">
        <v>41926</v>
      </c>
    </row>
    <row r="24" spans="1:8" ht="15" x14ac:dyDescent="0.25">
      <c r="A24" s="6">
        <v>22</v>
      </c>
      <c r="B24" s="9" t="s">
        <v>84</v>
      </c>
      <c r="C24" s="9">
        <v>2014</v>
      </c>
      <c r="D24" s="9" t="s">
        <v>85</v>
      </c>
      <c r="E24" s="15" t="s">
        <v>86</v>
      </c>
      <c r="F24" s="4">
        <v>41927</v>
      </c>
    </row>
    <row r="25" spans="1:8" ht="15" x14ac:dyDescent="0.25">
      <c r="A25" s="6">
        <v>23</v>
      </c>
      <c r="B25" s="9" t="s">
        <v>87</v>
      </c>
      <c r="C25" s="9">
        <v>2014</v>
      </c>
      <c r="D25" s="9" t="s">
        <v>88</v>
      </c>
      <c r="E25" s="15" t="s">
        <v>86</v>
      </c>
      <c r="F25" s="4">
        <v>41928</v>
      </c>
    </row>
    <row r="26" spans="1:8" ht="15" x14ac:dyDescent="0.25">
      <c r="A26" s="150">
        <v>24</v>
      </c>
      <c r="B26" s="9" t="s">
        <v>89</v>
      </c>
      <c r="C26" s="9">
        <v>2014</v>
      </c>
      <c r="D26" s="9" t="s">
        <v>90</v>
      </c>
      <c r="E26" s="15" t="s">
        <v>86</v>
      </c>
      <c r="F26" s="4">
        <v>41929</v>
      </c>
    </row>
    <row r="27" spans="1:8" ht="15" x14ac:dyDescent="0.25">
      <c r="A27" s="150">
        <v>25</v>
      </c>
      <c r="B27" s="9" t="s">
        <v>98</v>
      </c>
      <c r="C27" s="17">
        <v>41334</v>
      </c>
      <c r="D27" s="9" t="s">
        <v>99</v>
      </c>
      <c r="E27" s="15" t="s">
        <v>723</v>
      </c>
      <c r="F27" s="4">
        <v>41930</v>
      </c>
    </row>
    <row r="28" spans="1:8" ht="15" x14ac:dyDescent="0.25">
      <c r="A28" s="150">
        <v>26</v>
      </c>
      <c r="B28" s="9" t="s">
        <v>754</v>
      </c>
      <c r="C28" s="9">
        <v>2009</v>
      </c>
      <c r="D28" s="14" t="s">
        <v>864</v>
      </c>
      <c r="E28" s="15" t="s">
        <v>659</v>
      </c>
      <c r="F28" s="4">
        <v>41988</v>
      </c>
    </row>
    <row r="29" spans="1:8" ht="15" x14ac:dyDescent="0.25">
      <c r="A29" s="150">
        <v>27</v>
      </c>
      <c r="B29" s="9" t="s">
        <v>755</v>
      </c>
      <c r="C29" s="9">
        <v>2012</v>
      </c>
      <c r="D29" s="14" t="s">
        <v>756</v>
      </c>
      <c r="E29" s="15" t="s">
        <v>710</v>
      </c>
      <c r="F29" s="4">
        <v>41988</v>
      </c>
    </row>
    <row r="30" spans="1:8" ht="15" x14ac:dyDescent="0.25">
      <c r="A30" s="150">
        <v>28</v>
      </c>
      <c r="B30" s="9" t="s">
        <v>93</v>
      </c>
      <c r="C30" s="9">
        <v>2014</v>
      </c>
      <c r="D30" s="14" t="s">
        <v>716</v>
      </c>
      <c r="E30" s="15" t="s">
        <v>693</v>
      </c>
      <c r="F30" s="4">
        <v>41988</v>
      </c>
    </row>
    <row r="31" spans="1:8" ht="15" x14ac:dyDescent="0.25">
      <c r="A31" s="149">
        <v>35</v>
      </c>
      <c r="B31" s="9" t="s">
        <v>851</v>
      </c>
      <c r="C31" s="9">
        <v>2011</v>
      </c>
      <c r="D31" s="9" t="s">
        <v>131</v>
      </c>
      <c r="E31" s="15" t="s">
        <v>850</v>
      </c>
      <c r="F31" s="4">
        <v>41926</v>
      </c>
      <c r="G31" s="9" t="s">
        <v>15</v>
      </c>
    </row>
    <row r="32" spans="1:8" ht="15" x14ac:dyDescent="0.25">
      <c r="A32" s="149">
        <v>36</v>
      </c>
      <c r="B32" s="9" t="s">
        <v>93</v>
      </c>
      <c r="C32" s="9">
        <v>2013</v>
      </c>
      <c r="D32" s="9" t="s">
        <v>876</v>
      </c>
      <c r="E32" s="15" t="s">
        <v>877</v>
      </c>
      <c r="F32" s="4"/>
    </row>
    <row r="33" spans="1:7" ht="15" x14ac:dyDescent="0.25">
      <c r="A33" s="149">
        <v>37</v>
      </c>
      <c r="B33" s="9" t="s">
        <v>894</v>
      </c>
      <c r="C33" s="9">
        <v>2015</v>
      </c>
      <c r="D33" s="9" t="s">
        <v>889</v>
      </c>
      <c r="E33" s="15" t="s">
        <v>895</v>
      </c>
      <c r="F33" s="4"/>
    </row>
    <row r="34" spans="1:7" ht="18" thickBot="1" x14ac:dyDescent="0.35">
      <c r="A34" s="13" t="s">
        <v>635</v>
      </c>
      <c r="B34" s="13"/>
      <c r="C34" s="13"/>
      <c r="D34" s="13"/>
      <c r="E34" s="13"/>
    </row>
    <row r="35" spans="1:7" ht="15.75" thickTop="1" x14ac:dyDescent="0.25">
      <c r="A35" s="149">
        <v>29</v>
      </c>
      <c r="B35" s="20" t="s">
        <v>89</v>
      </c>
      <c r="C35" s="9">
        <v>2012</v>
      </c>
      <c r="D35" s="9" t="s">
        <v>91</v>
      </c>
      <c r="E35" s="15" t="s">
        <v>92</v>
      </c>
      <c r="F35" s="4">
        <v>41918</v>
      </c>
    </row>
    <row r="36" spans="1:7" ht="15" x14ac:dyDescent="0.25">
      <c r="A36" s="149">
        <v>30</v>
      </c>
      <c r="B36" s="20" t="s">
        <v>93</v>
      </c>
      <c r="C36" s="75">
        <v>40458</v>
      </c>
      <c r="D36" s="9" t="s">
        <v>94</v>
      </c>
      <c r="E36" s="15" t="s">
        <v>95</v>
      </c>
      <c r="F36" s="4">
        <v>41918</v>
      </c>
      <c r="G36" s="9" t="s">
        <v>15</v>
      </c>
    </row>
    <row r="37" spans="1:7" ht="15" x14ac:dyDescent="0.25">
      <c r="A37" s="149">
        <v>31</v>
      </c>
      <c r="B37" s="20" t="s">
        <v>93</v>
      </c>
      <c r="C37" s="9">
        <v>2012</v>
      </c>
      <c r="D37" s="9" t="s">
        <v>96</v>
      </c>
      <c r="E37" s="15" t="s">
        <v>97</v>
      </c>
      <c r="F37" s="4">
        <v>41918</v>
      </c>
      <c r="G37" s="9" t="s">
        <v>15</v>
      </c>
    </row>
    <row r="38" spans="1:7" ht="15" x14ac:dyDescent="0.25">
      <c r="A38" s="149">
        <v>32</v>
      </c>
      <c r="B38" s="9" t="s">
        <v>118</v>
      </c>
      <c r="C38" s="208">
        <v>2014</v>
      </c>
      <c r="D38" s="9" t="s">
        <v>119</v>
      </c>
      <c r="E38" s="15" t="s">
        <v>120</v>
      </c>
      <c r="F38" s="4">
        <v>41926</v>
      </c>
      <c r="G38" s="9" t="s">
        <v>15</v>
      </c>
    </row>
    <row r="39" spans="1:7" ht="15" x14ac:dyDescent="0.25">
      <c r="A39" s="149">
        <v>33</v>
      </c>
      <c r="B39" s="9" t="s">
        <v>100</v>
      </c>
      <c r="C39" s="75">
        <v>41585</v>
      </c>
      <c r="D39" s="9" t="s">
        <v>101</v>
      </c>
      <c r="E39" s="15" t="s">
        <v>102</v>
      </c>
      <c r="F39" s="4">
        <v>41919</v>
      </c>
    </row>
    <row r="40" spans="1:7" ht="15" hidden="1" x14ac:dyDescent="0.25">
      <c r="A40" s="149"/>
      <c r="E40" s="15"/>
    </row>
    <row r="41" spans="1:7" ht="15" hidden="1" x14ac:dyDescent="0.25">
      <c r="A41" s="149"/>
      <c r="E41" s="15"/>
    </row>
    <row r="42" spans="1:7" ht="15" hidden="1" x14ac:dyDescent="0.25">
      <c r="A42" s="149"/>
      <c r="E42" s="15"/>
    </row>
    <row r="43" spans="1:7" ht="15" hidden="1" x14ac:dyDescent="0.25">
      <c r="A43" s="149"/>
      <c r="D43" s="5"/>
      <c r="E43" s="15"/>
    </row>
    <row r="44" spans="1:7" ht="15" hidden="1" x14ac:dyDescent="0.25">
      <c r="A44" s="149"/>
      <c r="E44" s="15"/>
    </row>
    <row r="45" spans="1:7" ht="15" hidden="1" x14ac:dyDescent="0.25">
      <c r="A45" s="149"/>
      <c r="E45" s="15"/>
    </row>
    <row r="46" spans="1:7" ht="15" hidden="1" x14ac:dyDescent="0.25">
      <c r="A46" s="149"/>
      <c r="E46" s="15"/>
    </row>
    <row r="47" spans="1:7" ht="15" hidden="1" x14ac:dyDescent="0.25">
      <c r="A47" s="149"/>
      <c r="E47" s="15"/>
    </row>
    <row r="48" spans="1:7" ht="15" hidden="1" x14ac:dyDescent="0.25">
      <c r="A48" s="149"/>
      <c r="E48" s="15"/>
    </row>
    <row r="49" spans="1:6" ht="15" hidden="1" x14ac:dyDescent="0.25">
      <c r="A49" s="149"/>
      <c r="E49" s="15"/>
    </row>
    <row r="50" spans="1:6" ht="15" hidden="1" x14ac:dyDescent="0.25">
      <c r="A50" s="149"/>
      <c r="E50" s="15"/>
    </row>
    <row r="51" spans="1:6" ht="15" hidden="1" x14ac:dyDescent="0.25">
      <c r="A51" s="149"/>
      <c r="E51" s="15"/>
    </row>
    <row r="52" spans="1:6" ht="15" hidden="1" x14ac:dyDescent="0.25">
      <c r="A52" s="149"/>
      <c r="E52" s="15"/>
    </row>
    <row r="53" spans="1:6" ht="18" hidden="1" thickBot="1" x14ac:dyDescent="0.35">
      <c r="A53" s="149"/>
      <c r="B53" s="13"/>
      <c r="C53" s="13"/>
      <c r="D53" s="13"/>
      <c r="E53" s="15"/>
    </row>
    <row r="54" spans="1:6" ht="15" hidden="1" x14ac:dyDescent="0.25">
      <c r="A54" s="149"/>
      <c r="E54" s="15"/>
      <c r="F54" s="6"/>
    </row>
    <row r="55" spans="1:6" ht="15" hidden="1" x14ac:dyDescent="0.25">
      <c r="A55" s="149"/>
      <c r="E55" s="15"/>
      <c r="F55" s="6"/>
    </row>
    <row r="56" spans="1:6" ht="15" hidden="1" x14ac:dyDescent="0.25">
      <c r="A56" s="149"/>
      <c r="D56" s="5"/>
      <c r="E56" s="15"/>
      <c r="F56" s="6"/>
    </row>
    <row r="57" spans="1:6" ht="15" hidden="1" x14ac:dyDescent="0.25">
      <c r="A57" s="149"/>
      <c r="D57" s="5"/>
      <c r="E57" s="15"/>
      <c r="F57" s="6"/>
    </row>
    <row r="58" spans="1:6" ht="15" hidden="1" x14ac:dyDescent="0.25">
      <c r="A58" s="149"/>
      <c r="D58" s="5"/>
      <c r="E58" s="15"/>
      <c r="F58" s="6"/>
    </row>
    <row r="59" spans="1:6" ht="15" hidden="1" x14ac:dyDescent="0.25">
      <c r="A59" s="149"/>
      <c r="D59" s="5"/>
      <c r="E59" s="15"/>
      <c r="F59" s="6"/>
    </row>
    <row r="60" spans="1:6" ht="15" hidden="1" x14ac:dyDescent="0.25">
      <c r="A60" s="149"/>
      <c r="D60" s="5"/>
      <c r="E60" s="15"/>
      <c r="F60" s="6"/>
    </row>
    <row r="61" spans="1:6" ht="15" hidden="1" x14ac:dyDescent="0.25">
      <c r="A61" s="149"/>
      <c r="D61" s="5"/>
      <c r="E61" s="15"/>
      <c r="F61" s="6"/>
    </row>
    <row r="62" spans="1:6" ht="15" hidden="1" x14ac:dyDescent="0.25">
      <c r="A62" s="149"/>
      <c r="D62" s="5"/>
      <c r="E62" s="15"/>
      <c r="F62" s="6"/>
    </row>
    <row r="63" spans="1:6" ht="15" hidden="1" x14ac:dyDescent="0.25">
      <c r="A63" s="149"/>
      <c r="D63" s="5"/>
      <c r="E63" s="15"/>
    </row>
    <row r="64" spans="1:6" ht="15" hidden="1" x14ac:dyDescent="0.25">
      <c r="A64" s="149"/>
      <c r="E64" s="15"/>
    </row>
    <row r="65" spans="1:5" ht="15" hidden="1" x14ac:dyDescent="0.25">
      <c r="A65" s="149"/>
      <c r="E65" s="15"/>
    </row>
    <row r="66" spans="1:5" ht="15" hidden="1" x14ac:dyDescent="0.25">
      <c r="A66" s="149"/>
      <c r="E66" s="15"/>
    </row>
    <row r="67" spans="1:5" ht="15" hidden="1" x14ac:dyDescent="0.25">
      <c r="A67" s="149"/>
      <c r="E67" s="15"/>
    </row>
    <row r="68" spans="1:5" ht="15" hidden="1" x14ac:dyDescent="0.25">
      <c r="A68" s="149"/>
      <c r="E68" s="15"/>
    </row>
    <row r="69" spans="1:5" ht="15" hidden="1" x14ac:dyDescent="0.25">
      <c r="A69" s="149"/>
      <c r="E69" s="15"/>
    </row>
    <row r="70" spans="1:5" ht="15" hidden="1" x14ac:dyDescent="0.25">
      <c r="A70" s="149"/>
      <c r="E70" s="15"/>
    </row>
    <row r="71" spans="1:5" ht="15" hidden="1" x14ac:dyDescent="0.25">
      <c r="A71" s="149"/>
      <c r="E71" s="15"/>
    </row>
    <row r="72" spans="1:5" ht="15" hidden="1" x14ac:dyDescent="0.25">
      <c r="A72" s="149"/>
      <c r="E72" s="15"/>
    </row>
    <row r="73" spans="1:5" ht="15" hidden="1" x14ac:dyDescent="0.25">
      <c r="A73" s="149"/>
      <c r="E73" s="15"/>
    </row>
    <row r="74" spans="1:5" ht="15" hidden="1" x14ac:dyDescent="0.25">
      <c r="A74" s="149"/>
      <c r="E74" s="15"/>
    </row>
    <row r="75" spans="1:5" ht="15" hidden="1" x14ac:dyDescent="0.25">
      <c r="A75" s="149"/>
      <c r="E75" s="15"/>
    </row>
    <row r="76" spans="1:5" ht="15" hidden="1" x14ac:dyDescent="0.25">
      <c r="A76" s="149"/>
      <c r="E76" s="15"/>
    </row>
    <row r="77" spans="1:5" ht="15" hidden="1" x14ac:dyDescent="0.25">
      <c r="A77" s="149"/>
      <c r="E77" s="15"/>
    </row>
    <row r="78" spans="1:5" ht="15" hidden="1" x14ac:dyDescent="0.25">
      <c r="A78" s="149"/>
      <c r="E78" s="15"/>
    </row>
    <row r="79" spans="1:5" ht="15" hidden="1" x14ac:dyDescent="0.25">
      <c r="A79" s="149"/>
      <c r="E79" s="15"/>
    </row>
    <row r="80" spans="1:5" ht="15" hidden="1" x14ac:dyDescent="0.25">
      <c r="A80" s="149"/>
      <c r="E80" s="15"/>
    </row>
    <row r="81" spans="1:5" ht="15" hidden="1" x14ac:dyDescent="0.25">
      <c r="A81" s="149"/>
      <c r="E81" s="15"/>
    </row>
    <row r="82" spans="1:5" ht="15" hidden="1" x14ac:dyDescent="0.25">
      <c r="A82" s="149"/>
      <c r="E82" s="15"/>
    </row>
    <row r="83" spans="1:5" ht="15" hidden="1" x14ac:dyDescent="0.25">
      <c r="A83" s="149"/>
      <c r="E83" s="15"/>
    </row>
    <row r="84" spans="1:5" ht="15" hidden="1" x14ac:dyDescent="0.25">
      <c r="A84" s="149"/>
      <c r="B84" s="16"/>
      <c r="C84" s="17"/>
      <c r="E84" s="15"/>
    </row>
    <row r="85" spans="1:5" ht="15" hidden="1" x14ac:dyDescent="0.25">
      <c r="A85" s="149"/>
      <c r="B85" s="16"/>
      <c r="C85" s="4"/>
      <c r="E85" s="15"/>
    </row>
    <row r="86" spans="1:5" ht="15" hidden="1" x14ac:dyDescent="0.25">
      <c r="A86" s="149"/>
      <c r="B86" s="16"/>
      <c r="C86" s="17"/>
      <c r="E86" s="15"/>
    </row>
    <row r="87" spans="1:5" ht="15" hidden="1" x14ac:dyDescent="0.25">
      <c r="A87" s="149"/>
      <c r="D87" s="16"/>
      <c r="E87" s="15"/>
    </row>
    <row r="88" spans="1:5" ht="15" hidden="1" x14ac:dyDescent="0.25">
      <c r="A88" s="149"/>
      <c r="C88" s="4"/>
      <c r="E88" s="15"/>
    </row>
    <row r="89" spans="1:5" ht="15" hidden="1" x14ac:dyDescent="0.25">
      <c r="A89" s="149"/>
      <c r="D89" s="16"/>
      <c r="E89" s="15"/>
    </row>
    <row r="90" spans="1:5" ht="15" hidden="1" x14ac:dyDescent="0.25">
      <c r="A90" s="149"/>
      <c r="C90" s="4"/>
      <c r="E90" s="15"/>
    </row>
    <row r="91" spans="1:5" ht="15" hidden="1" x14ac:dyDescent="0.25">
      <c r="A91" s="149"/>
      <c r="B91" s="16"/>
      <c r="C91" s="4"/>
      <c r="E91" s="15"/>
    </row>
    <row r="92" spans="1:5" ht="15" hidden="1" x14ac:dyDescent="0.25">
      <c r="A92" s="149"/>
      <c r="B92" s="16"/>
      <c r="C92" s="17"/>
      <c r="E92" s="15"/>
    </row>
    <row r="93" spans="1:5" ht="15" hidden="1" x14ac:dyDescent="0.25">
      <c r="A93" s="149"/>
      <c r="D93" s="16"/>
      <c r="E93" s="15"/>
    </row>
    <row r="94" spans="1:5" ht="15" hidden="1" x14ac:dyDescent="0.25">
      <c r="A94" s="149"/>
      <c r="E94" s="15"/>
    </row>
    <row r="95" spans="1:5" ht="15" hidden="1" x14ac:dyDescent="0.25">
      <c r="A95" s="149"/>
      <c r="B95" s="16"/>
      <c r="E95" s="15"/>
    </row>
    <row r="96" spans="1:5" ht="15" hidden="1" x14ac:dyDescent="0.25">
      <c r="A96" s="149"/>
      <c r="B96" s="16"/>
      <c r="C96" s="4"/>
      <c r="E96" s="15"/>
    </row>
    <row r="97" spans="1:5" ht="15" hidden="1" x14ac:dyDescent="0.25">
      <c r="A97" s="149"/>
      <c r="B97" s="16"/>
      <c r="C97" s="17"/>
      <c r="E97" s="15"/>
    </row>
    <row r="98" spans="1:5" ht="15" hidden="1" x14ac:dyDescent="0.25">
      <c r="A98" s="149"/>
      <c r="D98" s="16"/>
      <c r="E98" s="15"/>
    </row>
    <row r="99" spans="1:5" ht="15" hidden="1" x14ac:dyDescent="0.25">
      <c r="A99" s="149"/>
      <c r="E99" s="15"/>
    </row>
    <row r="100" spans="1:5" ht="15" hidden="1" x14ac:dyDescent="0.25">
      <c r="A100" s="149"/>
      <c r="B100" s="16"/>
      <c r="E100" s="15"/>
    </row>
    <row r="101" spans="1:5" ht="15" hidden="1" x14ac:dyDescent="0.25">
      <c r="A101" s="149"/>
      <c r="B101" s="16"/>
      <c r="C101" s="4"/>
      <c r="E101" s="15"/>
    </row>
    <row r="102" spans="1:5" ht="15" hidden="1" x14ac:dyDescent="0.25">
      <c r="A102" s="149"/>
      <c r="B102" s="16"/>
      <c r="C102" s="17"/>
      <c r="E102" s="15"/>
    </row>
    <row r="103" spans="1:5" ht="15" hidden="1" x14ac:dyDescent="0.25">
      <c r="A103" s="149"/>
      <c r="D103" s="16"/>
      <c r="E103" s="15"/>
    </row>
    <row r="104" spans="1:5" ht="15" hidden="1" x14ac:dyDescent="0.25">
      <c r="A104" s="149"/>
      <c r="E104" s="15"/>
    </row>
    <row r="105" spans="1:5" ht="15" hidden="1" x14ac:dyDescent="0.25">
      <c r="A105" s="149"/>
      <c r="B105" s="16"/>
      <c r="C105" s="4"/>
      <c r="E105" s="15"/>
    </row>
    <row r="106" spans="1:5" ht="15" hidden="1" x14ac:dyDescent="0.25">
      <c r="A106" s="149"/>
      <c r="B106" s="16"/>
      <c r="C106" s="17"/>
      <c r="E106" s="15"/>
    </row>
    <row r="107" spans="1:5" ht="15" hidden="1" x14ac:dyDescent="0.25">
      <c r="A107" s="149"/>
      <c r="D107" s="16"/>
      <c r="E107" s="15"/>
    </row>
    <row r="108" spans="1:5" ht="15" hidden="1" x14ac:dyDescent="0.25">
      <c r="A108" s="149"/>
      <c r="E108" s="15"/>
    </row>
    <row r="109" spans="1:5" ht="15" hidden="1" x14ac:dyDescent="0.25">
      <c r="A109" s="149"/>
      <c r="B109" s="16"/>
      <c r="C109" s="4"/>
      <c r="E109" s="15"/>
    </row>
    <row r="110" spans="1:5" ht="15" hidden="1" x14ac:dyDescent="0.25">
      <c r="A110" s="149"/>
      <c r="B110" s="16"/>
      <c r="C110" s="17"/>
      <c r="E110" s="15"/>
    </row>
    <row r="111" spans="1:5" ht="15" hidden="1" x14ac:dyDescent="0.25">
      <c r="A111" s="149"/>
      <c r="D111" s="16"/>
      <c r="E111" s="15"/>
    </row>
    <row r="112" spans="1:5" ht="15" hidden="1" x14ac:dyDescent="0.25">
      <c r="A112" s="149"/>
      <c r="C112" s="4"/>
      <c r="E112" s="15"/>
    </row>
    <row r="113" spans="1:5" ht="15" hidden="1" x14ac:dyDescent="0.25">
      <c r="A113" s="149"/>
      <c r="D113" s="16"/>
      <c r="E113" s="15"/>
    </row>
    <row r="114" spans="1:5" ht="15" hidden="1" x14ac:dyDescent="0.25">
      <c r="A114" s="149"/>
      <c r="B114" s="16"/>
      <c r="C114" s="4"/>
      <c r="E114" s="15"/>
    </row>
    <row r="115" spans="1:5" ht="15" hidden="1" x14ac:dyDescent="0.25">
      <c r="A115" s="149"/>
      <c r="B115" s="16"/>
      <c r="C115" s="17"/>
      <c r="E115" s="15"/>
    </row>
    <row r="116" spans="1:5" ht="15" hidden="1" x14ac:dyDescent="0.25">
      <c r="A116" s="149"/>
      <c r="D116" s="16"/>
      <c r="E116" s="15"/>
    </row>
    <row r="117" spans="1:5" ht="15" hidden="1" x14ac:dyDescent="0.25">
      <c r="A117" s="149"/>
      <c r="B117" s="16"/>
      <c r="C117" s="4"/>
      <c r="E117" s="15"/>
    </row>
    <row r="118" spans="1:5" ht="15" hidden="1" x14ac:dyDescent="0.25">
      <c r="A118" s="149"/>
      <c r="D118" s="16"/>
      <c r="E118" s="15"/>
    </row>
    <row r="119" spans="1:5" ht="15" hidden="1" x14ac:dyDescent="0.25">
      <c r="A119" s="149"/>
      <c r="B119" s="16"/>
      <c r="C119" s="17"/>
      <c r="E119" s="15"/>
    </row>
    <row r="120" spans="1:5" ht="15" hidden="1" x14ac:dyDescent="0.25">
      <c r="A120" s="149"/>
      <c r="D120" s="16"/>
      <c r="E120" s="15"/>
    </row>
    <row r="121" spans="1:5" ht="15" hidden="1" x14ac:dyDescent="0.25">
      <c r="A121" s="149"/>
      <c r="B121" s="16"/>
      <c r="C121" s="4"/>
      <c r="E121" s="15"/>
    </row>
    <row r="122" spans="1:5" ht="15" hidden="1" x14ac:dyDescent="0.25">
      <c r="A122" s="149"/>
      <c r="B122" s="16"/>
      <c r="C122" s="17"/>
      <c r="E122" s="15"/>
    </row>
    <row r="123" spans="1:5" ht="15" hidden="1" x14ac:dyDescent="0.25">
      <c r="A123" s="149"/>
      <c r="D123" s="16"/>
      <c r="E123" s="15"/>
    </row>
    <row r="124" spans="1:5" ht="15" hidden="1" x14ac:dyDescent="0.25">
      <c r="A124" s="149"/>
      <c r="B124" s="16"/>
      <c r="C124" s="4"/>
      <c r="E124" s="15"/>
    </row>
    <row r="125" spans="1:5" ht="15" hidden="1" x14ac:dyDescent="0.25">
      <c r="A125" s="149"/>
      <c r="B125" s="16"/>
      <c r="C125" s="4"/>
      <c r="E125" s="15"/>
    </row>
    <row r="126" spans="1:5" ht="15" hidden="1" x14ac:dyDescent="0.25">
      <c r="A126" s="149"/>
      <c r="B126" s="16"/>
      <c r="C126" s="4"/>
      <c r="E126" s="15"/>
    </row>
    <row r="127" spans="1:5" ht="15" hidden="1" x14ac:dyDescent="0.25">
      <c r="A127" s="149"/>
      <c r="D127" s="16"/>
      <c r="E127" s="15"/>
    </row>
    <row r="128" spans="1:5" ht="15" hidden="1" x14ac:dyDescent="0.25">
      <c r="A128" s="149"/>
      <c r="B128" s="16"/>
      <c r="C128" s="4"/>
      <c r="E128" s="15"/>
    </row>
    <row r="129" spans="1:5" ht="15" hidden="1" x14ac:dyDescent="0.25">
      <c r="A129" s="149"/>
      <c r="B129" s="16"/>
      <c r="C129" s="4"/>
      <c r="E129" s="15"/>
    </row>
    <row r="130" spans="1:5" ht="15" hidden="1" x14ac:dyDescent="0.25">
      <c r="A130" s="149"/>
      <c r="B130" s="16"/>
      <c r="C130" s="17"/>
      <c r="E130" s="15"/>
    </row>
    <row r="131" spans="1:5" ht="15" hidden="1" x14ac:dyDescent="0.25">
      <c r="A131" s="149"/>
      <c r="D131" s="16"/>
      <c r="E131" s="15"/>
    </row>
    <row r="132" spans="1:5" ht="15" hidden="1" x14ac:dyDescent="0.25">
      <c r="A132" s="149"/>
      <c r="B132" s="16"/>
      <c r="C132" s="17"/>
      <c r="E132" s="15"/>
    </row>
    <row r="133" spans="1:5" ht="15" hidden="1" x14ac:dyDescent="0.25">
      <c r="A133" s="149"/>
      <c r="D133" s="16"/>
      <c r="E133" s="15"/>
    </row>
    <row r="134" spans="1:5" ht="15" hidden="1" x14ac:dyDescent="0.25">
      <c r="A134" s="149"/>
      <c r="C134" s="4"/>
      <c r="D134" s="16"/>
      <c r="E134" s="15"/>
    </row>
    <row r="135" spans="1:5" ht="15" hidden="1" x14ac:dyDescent="0.25">
      <c r="A135" s="149"/>
      <c r="B135" s="16"/>
      <c r="C135" s="17"/>
      <c r="E135" s="15"/>
    </row>
    <row r="136" spans="1:5" ht="15" hidden="1" x14ac:dyDescent="0.25">
      <c r="A136" s="149"/>
      <c r="D136" s="16"/>
      <c r="E136" s="15"/>
    </row>
    <row r="137" spans="1:5" ht="15" hidden="1" x14ac:dyDescent="0.25">
      <c r="A137" s="149"/>
      <c r="C137" s="4"/>
      <c r="E137" s="15"/>
    </row>
    <row r="138" spans="1:5" ht="15" hidden="1" x14ac:dyDescent="0.25">
      <c r="A138" s="149"/>
      <c r="D138" s="16"/>
      <c r="E138" s="15"/>
    </row>
    <row r="139" spans="1:5" ht="15" hidden="1" x14ac:dyDescent="0.25">
      <c r="A139" s="149"/>
      <c r="B139" s="16"/>
      <c r="C139" s="4"/>
      <c r="E139" s="15"/>
    </row>
    <row r="140" spans="1:5" ht="15" hidden="1" x14ac:dyDescent="0.25">
      <c r="A140" s="149"/>
      <c r="D140" s="16"/>
      <c r="E140" s="15"/>
    </row>
    <row r="141" spans="1:5" ht="15" hidden="1" x14ac:dyDescent="0.25">
      <c r="A141" s="149"/>
      <c r="B141" s="16"/>
      <c r="C141" s="17"/>
      <c r="E141" s="15"/>
    </row>
    <row r="142" spans="1:5" ht="15" hidden="1" x14ac:dyDescent="0.25">
      <c r="A142" s="149"/>
      <c r="B142" s="16"/>
      <c r="C142" s="4"/>
      <c r="E142" s="15"/>
    </row>
    <row r="143" spans="1:5" ht="15" hidden="1" x14ac:dyDescent="0.25">
      <c r="A143" s="149"/>
      <c r="D143" s="16"/>
      <c r="E143" s="15"/>
    </row>
    <row r="144" spans="1:5" ht="15" hidden="1" x14ac:dyDescent="0.25">
      <c r="A144" s="149"/>
      <c r="C144" s="4"/>
      <c r="E144" s="15"/>
    </row>
    <row r="145" spans="1:5" ht="15" hidden="1" x14ac:dyDescent="0.25">
      <c r="A145" s="149"/>
      <c r="B145" s="16"/>
      <c r="C145" s="4"/>
      <c r="E145" s="15"/>
    </row>
    <row r="146" spans="1:5" ht="15" hidden="1" x14ac:dyDescent="0.25">
      <c r="A146" s="149"/>
      <c r="B146" s="16"/>
      <c r="C146" s="4"/>
      <c r="E146" s="15"/>
    </row>
    <row r="147" spans="1:5" ht="15" hidden="1" x14ac:dyDescent="0.25">
      <c r="A147" s="149"/>
      <c r="B147" s="16"/>
      <c r="C147" s="17"/>
      <c r="E147" s="15"/>
    </row>
    <row r="148" spans="1:5" ht="15" hidden="1" x14ac:dyDescent="0.25">
      <c r="A148" s="149"/>
      <c r="D148" s="16"/>
      <c r="E148" s="15"/>
    </row>
    <row r="149" spans="1:5" ht="15" hidden="1" x14ac:dyDescent="0.25">
      <c r="A149" s="149"/>
      <c r="C149" s="4"/>
      <c r="E149" s="15"/>
    </row>
    <row r="150" spans="1:5" ht="15" hidden="1" x14ac:dyDescent="0.25">
      <c r="A150" s="149"/>
      <c r="B150" s="16"/>
      <c r="C150" s="4"/>
      <c r="E150" s="15"/>
    </row>
    <row r="151" spans="1:5" ht="15" hidden="1" x14ac:dyDescent="0.25">
      <c r="A151" s="149"/>
      <c r="B151" s="16"/>
      <c r="C151" s="4"/>
      <c r="E151" s="15"/>
    </row>
    <row r="152" spans="1:5" ht="15" hidden="1" x14ac:dyDescent="0.25">
      <c r="A152" s="149"/>
      <c r="B152" s="16"/>
      <c r="C152" s="17"/>
      <c r="E152" s="15"/>
    </row>
    <row r="153" spans="1:5" ht="15" hidden="1" x14ac:dyDescent="0.25">
      <c r="A153" s="149"/>
      <c r="E153" s="15"/>
    </row>
    <row r="154" spans="1:5" ht="15" hidden="1" x14ac:dyDescent="0.25">
      <c r="A154" s="149"/>
      <c r="E154" s="15"/>
    </row>
    <row r="155" spans="1:5" ht="15" hidden="1" x14ac:dyDescent="0.25">
      <c r="A155" s="149"/>
      <c r="E155" s="15"/>
    </row>
    <row r="156" spans="1:5" ht="15" hidden="1" x14ac:dyDescent="0.25">
      <c r="A156" s="149"/>
      <c r="E156" s="15"/>
    </row>
    <row r="157" spans="1:5" ht="15" hidden="1" x14ac:dyDescent="0.25">
      <c r="A157" s="149"/>
      <c r="E157" s="15"/>
    </row>
    <row r="158" spans="1:5" ht="15" hidden="1" x14ac:dyDescent="0.25">
      <c r="A158" s="149"/>
      <c r="E158" s="15"/>
    </row>
    <row r="159" spans="1:5" ht="15" hidden="1" x14ac:dyDescent="0.25">
      <c r="A159" s="149"/>
      <c r="E159" s="15"/>
    </row>
    <row r="160" spans="1:5" ht="15" hidden="1" x14ac:dyDescent="0.25">
      <c r="A160" s="149"/>
      <c r="E160" s="15"/>
    </row>
    <row r="161" spans="1:6" ht="15" x14ac:dyDescent="0.25">
      <c r="A161" s="149">
        <v>34</v>
      </c>
      <c r="B161" s="9" t="s">
        <v>137</v>
      </c>
      <c r="C161" s="9">
        <v>2014</v>
      </c>
      <c r="D161" s="9" t="s">
        <v>629</v>
      </c>
      <c r="E161" s="15" t="s">
        <v>138</v>
      </c>
      <c r="F161" s="4">
        <v>41926</v>
      </c>
    </row>
    <row r="162" spans="1:6" ht="15" x14ac:dyDescent="0.25">
      <c r="A162" s="149">
        <v>36</v>
      </c>
      <c r="B162" s="20" t="s">
        <v>81</v>
      </c>
      <c r="C162" s="9">
        <v>2014</v>
      </c>
      <c r="D162" s="9" t="s">
        <v>82</v>
      </c>
      <c r="E162" s="15" t="s">
        <v>83</v>
      </c>
    </row>
    <row r="163" spans="1:6" ht="15" x14ac:dyDescent="0.25">
      <c r="A163" s="149">
        <v>37</v>
      </c>
      <c r="B163" s="20" t="s">
        <v>81</v>
      </c>
      <c r="C163" s="9">
        <v>2015</v>
      </c>
      <c r="D163" s="9" t="s">
        <v>796</v>
      </c>
      <c r="E163" s="15" t="s">
        <v>795</v>
      </c>
    </row>
    <row r="164" spans="1:6" x14ac:dyDescent="0.2"/>
    <row r="165" spans="1:6" x14ac:dyDescent="0.2"/>
    <row r="166" spans="1:6" x14ac:dyDescent="0.2"/>
    <row r="167" spans="1:6" x14ac:dyDescent="0.2"/>
    <row r="168" spans="1:6" x14ac:dyDescent="0.2"/>
    <row r="169" spans="1:6" x14ac:dyDescent="0.2"/>
    <row r="170" spans="1:6" x14ac:dyDescent="0.2"/>
    <row r="171" spans="1:6" x14ac:dyDescent="0.2"/>
    <row r="172" spans="1:6" x14ac:dyDescent="0.2"/>
    <row r="173" spans="1:6" x14ac:dyDescent="0.2"/>
    <row r="174" spans="1:6" x14ac:dyDescent="0.2"/>
    <row r="175" spans="1:6" x14ac:dyDescent="0.2"/>
    <row r="176" spans="1:6" x14ac:dyDescent="0.2"/>
    <row r="177" x14ac:dyDescent="0.2"/>
    <row r="178" x14ac:dyDescent="0.2"/>
    <row r="179" x14ac:dyDescent="0.2"/>
    <row r="180" x14ac:dyDescent="0.2"/>
    <row r="181" x14ac:dyDescent="0.2"/>
    <row r="182" x14ac:dyDescent="0.2"/>
    <row r="183" x14ac:dyDescent="0.2"/>
    <row r="184" x14ac:dyDescent="0.2"/>
    <row r="185" x14ac:dyDescent="0.2"/>
    <row r="186" x14ac:dyDescent="0.2"/>
  </sheetData>
  <sheetProtection algorithmName="SHA-512" hashValue="vEZ4HX6S7vjM6k+wjtu/2yWbETf+slmoBr96GeLsRrZuz5WE8dpg1CdIx3NHl/bWWaBWQR75Loxi9quOC5t2OA==" saltValue="HA52wnJh1tXSxITZqONAsw==" spinCount="100000" sheet="1" objects="1" scenarios="1"/>
  <conditionalFormatting sqref="E34">
    <cfRule type="duplicateValues" dxfId="8" priority="1"/>
  </conditionalFormatting>
  <conditionalFormatting sqref="E35:E1048576 E31 E1:E2">
    <cfRule type="duplicateValues" dxfId="7" priority="2"/>
  </conditionalFormatting>
  <conditionalFormatting sqref="E35:E162 E31">
    <cfRule type="duplicateValues" dxfId="6" priority="3"/>
  </conditionalFormatting>
  <hyperlinks>
    <hyperlink ref="E24" r:id="rId1"/>
    <hyperlink ref="E39" r:id="rId2"/>
    <hyperlink ref="E3" r:id="rId3"/>
    <hyperlink ref="E4" r:id="rId4"/>
    <hyperlink ref="E5" r:id="rId5"/>
    <hyperlink ref="E21" r:id="rId6"/>
    <hyperlink ref="E22" r:id="rId7"/>
    <hyperlink ref="E23" r:id="rId8"/>
    <hyperlink ref="E20" r:id="rId9"/>
    <hyperlink ref="E7" r:id="rId10"/>
    <hyperlink ref="E9" r:id="rId11"/>
    <hyperlink ref="E10" r:id="rId12" location="standards"/>
    <hyperlink ref="E15" r:id="rId13"/>
    <hyperlink ref="E11" r:id="rId14"/>
    <hyperlink ref="E6" r:id="rId15" location="!documentDetail;D=EERE-2007-BT-STD-0010-0053"/>
    <hyperlink ref="E19" r:id="rId16" location="!documentDetail;D=EERE-2007-BT-STD-0010-0053"/>
    <hyperlink ref="E12" r:id="rId17"/>
    <hyperlink ref="E17" r:id="rId18"/>
    <hyperlink ref="E29" r:id="rId19"/>
    <hyperlink ref="E30" r:id="rId20"/>
    <hyperlink ref="E27" r:id="rId21"/>
    <hyperlink ref="E163" r:id="rId22"/>
    <hyperlink ref="E31" r:id="rId23"/>
    <hyperlink ref="E32" r:id="rId24"/>
    <hyperlink ref="E33" r:id="rId25"/>
  </hyperlinks>
  <pageMargins left="0.7" right="0.7" top="0.75" bottom="0.75" header="0.3" footer="0.3"/>
  <pageSetup orientation="portrait"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
  <sheetViews>
    <sheetView workbookViewId="0">
      <selection activeCell="B75" sqref="B75"/>
    </sheetView>
  </sheetViews>
  <sheetFormatPr defaultRowHeight="12.75" x14ac:dyDescent="0.2"/>
  <cols>
    <col min="1" max="1" width="26.7109375" style="9" bestFit="1" customWidth="1"/>
    <col min="2" max="2" width="19.42578125" style="9" customWidth="1"/>
    <col min="3" max="3" width="38.7109375" style="73" bestFit="1" customWidth="1"/>
    <col min="5" max="6" width="9.140625" style="9"/>
    <col min="7" max="7" width="10.42578125" style="9" bestFit="1" customWidth="1"/>
    <col min="8" max="8" width="10.42578125" style="9" customWidth="1"/>
  </cols>
  <sheetData>
    <row r="1" spans="1:12" x14ac:dyDescent="0.2">
      <c r="A1" s="9" t="s">
        <v>0</v>
      </c>
      <c r="B1" s="9" t="s">
        <v>176</v>
      </c>
      <c r="C1" s="73" t="s">
        <v>192</v>
      </c>
      <c r="D1" t="s">
        <v>40</v>
      </c>
      <c r="E1" t="s">
        <v>162</v>
      </c>
      <c r="F1" t="s">
        <v>163</v>
      </c>
      <c r="G1" s="9" t="s">
        <v>118</v>
      </c>
      <c r="H1" s="9" t="s">
        <v>315</v>
      </c>
      <c r="I1" t="s">
        <v>316</v>
      </c>
      <c r="J1" t="s">
        <v>317</v>
      </c>
      <c r="K1" t="s">
        <v>318</v>
      </c>
      <c r="L1" t="s">
        <v>319</v>
      </c>
    </row>
    <row r="2" spans="1:12" x14ac:dyDescent="0.2">
      <c r="A2" s="9" t="s">
        <v>156</v>
      </c>
      <c r="B2" s="9" t="s">
        <v>511</v>
      </c>
      <c r="C2" s="73">
        <v>61423</v>
      </c>
      <c r="D2">
        <f t="shared" ref="D2:D65" si="0">IF(SUM(E2:H2)&gt;0,AVERAGE(E2:H2),"")</f>
        <v>949.99</v>
      </c>
      <c r="E2">
        <v>949.99</v>
      </c>
      <c r="I2" t="s">
        <v>144</v>
      </c>
    </row>
    <row r="3" spans="1:12" x14ac:dyDescent="0.2">
      <c r="A3" s="9" t="s">
        <v>156</v>
      </c>
      <c r="B3" s="9" t="s">
        <v>177</v>
      </c>
      <c r="C3" s="73" t="s">
        <v>179</v>
      </c>
      <c r="D3" s="9" t="str">
        <f t="shared" si="0"/>
        <v/>
      </c>
    </row>
    <row r="4" spans="1:12" x14ac:dyDescent="0.2">
      <c r="A4" s="9" t="s">
        <v>156</v>
      </c>
      <c r="B4" s="9" t="s">
        <v>511</v>
      </c>
      <c r="C4" s="73">
        <v>81582</v>
      </c>
      <c r="D4" s="9">
        <f t="shared" si="0"/>
        <v>1129.99</v>
      </c>
      <c r="E4">
        <v>1129.99</v>
      </c>
      <c r="I4" t="s">
        <v>143</v>
      </c>
    </row>
    <row r="5" spans="1:12" x14ac:dyDescent="0.2">
      <c r="A5" s="9" t="s">
        <v>156</v>
      </c>
      <c r="B5" s="9" t="s">
        <v>180</v>
      </c>
      <c r="C5" s="73" t="s">
        <v>183</v>
      </c>
      <c r="D5" s="9" t="str">
        <f t="shared" si="0"/>
        <v/>
      </c>
    </row>
    <row r="6" spans="1:12" x14ac:dyDescent="0.2">
      <c r="A6" s="9" t="s">
        <v>156</v>
      </c>
      <c r="B6" s="9" t="s">
        <v>180</v>
      </c>
      <c r="C6" s="73" t="s">
        <v>193</v>
      </c>
      <c r="D6" s="9">
        <f t="shared" si="0"/>
        <v>974.495</v>
      </c>
      <c r="E6">
        <v>949.99</v>
      </c>
      <c r="G6" s="9">
        <v>999</v>
      </c>
      <c r="I6" t="s">
        <v>145</v>
      </c>
      <c r="K6" t="s">
        <v>440</v>
      </c>
    </row>
    <row r="7" spans="1:12" x14ac:dyDescent="0.2">
      <c r="A7" s="9" t="s">
        <v>156</v>
      </c>
      <c r="B7" s="9" t="s">
        <v>180</v>
      </c>
      <c r="C7" s="73" t="s">
        <v>194</v>
      </c>
      <c r="D7" s="9">
        <f t="shared" si="0"/>
        <v>1079.0999999999999</v>
      </c>
      <c r="F7">
        <v>1079.0999999999999</v>
      </c>
      <c r="J7" t="s">
        <v>167</v>
      </c>
    </row>
    <row r="8" spans="1:12" x14ac:dyDescent="0.2">
      <c r="A8" s="9" t="s">
        <v>156</v>
      </c>
      <c r="B8" s="9" t="s">
        <v>180</v>
      </c>
      <c r="C8" s="73" t="s">
        <v>184</v>
      </c>
      <c r="D8" s="9" t="str">
        <f t="shared" si="0"/>
        <v/>
      </c>
    </row>
    <row r="9" spans="1:12" x14ac:dyDescent="0.2">
      <c r="A9" s="9" t="s">
        <v>156</v>
      </c>
      <c r="B9" s="9" t="s">
        <v>181</v>
      </c>
      <c r="C9" s="73" t="s">
        <v>195</v>
      </c>
      <c r="D9" s="9">
        <f t="shared" si="0"/>
        <v>854</v>
      </c>
      <c r="E9" s="9">
        <v>809</v>
      </c>
      <c r="F9">
        <v>899</v>
      </c>
      <c r="I9" t="s">
        <v>577</v>
      </c>
      <c r="J9" s="9" t="s">
        <v>164</v>
      </c>
    </row>
    <row r="10" spans="1:12" x14ac:dyDescent="0.2">
      <c r="A10" s="9" t="s">
        <v>156</v>
      </c>
      <c r="B10" s="9" t="s">
        <v>181</v>
      </c>
      <c r="C10" s="73" t="s">
        <v>186</v>
      </c>
      <c r="D10" s="9">
        <f t="shared" si="0"/>
        <v>999</v>
      </c>
      <c r="H10" s="77">
        <v>999</v>
      </c>
      <c r="L10" s="9" t="s">
        <v>146</v>
      </c>
    </row>
    <row r="11" spans="1:12" x14ac:dyDescent="0.2">
      <c r="A11" s="9" t="s">
        <v>156</v>
      </c>
      <c r="B11" s="9" t="s">
        <v>181</v>
      </c>
      <c r="C11" s="73" t="s">
        <v>196</v>
      </c>
      <c r="D11" s="9">
        <f t="shared" si="0"/>
        <v>965.66666666666663</v>
      </c>
      <c r="E11" s="9">
        <v>899</v>
      </c>
      <c r="F11">
        <v>999</v>
      </c>
      <c r="G11" s="9">
        <v>999</v>
      </c>
      <c r="I11" t="s">
        <v>570</v>
      </c>
      <c r="J11" s="9" t="s">
        <v>187</v>
      </c>
      <c r="K11" t="s">
        <v>447</v>
      </c>
    </row>
    <row r="12" spans="1:12" x14ac:dyDescent="0.2">
      <c r="A12" s="9" t="s">
        <v>156</v>
      </c>
      <c r="B12" s="9" t="s">
        <v>181</v>
      </c>
      <c r="C12" s="73" t="s">
        <v>197</v>
      </c>
      <c r="D12" s="9">
        <f t="shared" si="0"/>
        <v>1044</v>
      </c>
      <c r="E12" s="9">
        <v>989</v>
      </c>
      <c r="F12">
        <v>1099</v>
      </c>
      <c r="I12" t="s">
        <v>578</v>
      </c>
      <c r="J12" s="9" t="s">
        <v>161</v>
      </c>
    </row>
    <row r="13" spans="1:12" x14ac:dyDescent="0.2">
      <c r="A13" s="9" t="s">
        <v>156</v>
      </c>
      <c r="B13" s="9" t="s">
        <v>181</v>
      </c>
      <c r="C13" s="73" t="s">
        <v>188</v>
      </c>
      <c r="D13" s="9">
        <f t="shared" si="0"/>
        <v>1318</v>
      </c>
      <c r="E13" s="9">
        <v>1187</v>
      </c>
      <c r="H13" s="77">
        <v>1449</v>
      </c>
      <c r="I13" t="s">
        <v>580</v>
      </c>
      <c r="L13" t="s">
        <v>189</v>
      </c>
    </row>
    <row r="14" spans="1:12" x14ac:dyDescent="0.2">
      <c r="A14" s="9" t="s">
        <v>156</v>
      </c>
      <c r="B14" s="9" t="s">
        <v>182</v>
      </c>
      <c r="C14" s="73" t="s">
        <v>185</v>
      </c>
      <c r="D14" s="9" t="str">
        <f t="shared" si="0"/>
        <v/>
      </c>
    </row>
    <row r="15" spans="1:12" x14ac:dyDescent="0.2">
      <c r="A15" s="9" t="s">
        <v>156</v>
      </c>
      <c r="B15" s="9" t="s">
        <v>171</v>
      </c>
      <c r="C15" s="73" t="s">
        <v>190</v>
      </c>
      <c r="D15" s="9">
        <f t="shared" si="0"/>
        <v>742.66666666666663</v>
      </c>
      <c r="E15" s="9">
        <v>800</v>
      </c>
      <c r="F15">
        <v>629</v>
      </c>
      <c r="G15" s="9">
        <v>799</v>
      </c>
      <c r="I15" t="s">
        <v>488</v>
      </c>
      <c r="J15" s="9" t="s">
        <v>166</v>
      </c>
      <c r="K15" t="s">
        <v>432</v>
      </c>
    </row>
    <row r="16" spans="1:12" x14ac:dyDescent="0.2">
      <c r="A16" s="9" t="s">
        <v>156</v>
      </c>
      <c r="B16" s="9" t="s">
        <v>171</v>
      </c>
      <c r="C16" s="73" t="s">
        <v>191</v>
      </c>
      <c r="D16" s="9" t="str">
        <f t="shared" si="0"/>
        <v/>
      </c>
    </row>
    <row r="17" spans="1:12" x14ac:dyDescent="0.2">
      <c r="A17" s="9" t="s">
        <v>156</v>
      </c>
      <c r="B17" s="9" t="s">
        <v>171</v>
      </c>
      <c r="C17" s="73" t="s">
        <v>235</v>
      </c>
      <c r="D17" s="9">
        <f t="shared" si="0"/>
        <v>809</v>
      </c>
      <c r="E17" s="9">
        <v>809</v>
      </c>
      <c r="F17">
        <v>809</v>
      </c>
      <c r="I17" t="s">
        <v>500</v>
      </c>
      <c r="J17" s="9" t="s">
        <v>165</v>
      </c>
    </row>
    <row r="18" spans="1:12" x14ac:dyDescent="0.2">
      <c r="A18" s="9" t="s">
        <v>156</v>
      </c>
      <c r="B18" s="9" t="s">
        <v>171</v>
      </c>
      <c r="C18" s="73" t="s">
        <v>236</v>
      </c>
      <c r="D18" s="9">
        <f t="shared" si="0"/>
        <v>1199</v>
      </c>
      <c r="F18">
        <v>1199</v>
      </c>
      <c r="J18" s="9" t="s">
        <v>165</v>
      </c>
    </row>
    <row r="19" spans="1:12" x14ac:dyDescent="0.2">
      <c r="A19" s="9" t="s">
        <v>156</v>
      </c>
      <c r="B19" s="9" t="s">
        <v>171</v>
      </c>
      <c r="C19" s="73" t="s">
        <v>237</v>
      </c>
      <c r="D19" s="9">
        <f t="shared" si="0"/>
        <v>899</v>
      </c>
      <c r="F19">
        <v>899</v>
      </c>
      <c r="J19" t="s">
        <v>160</v>
      </c>
    </row>
    <row r="20" spans="1:12" x14ac:dyDescent="0.2">
      <c r="A20" s="9" t="s">
        <v>156</v>
      </c>
      <c r="B20" s="9" t="s">
        <v>171</v>
      </c>
      <c r="C20" s="73" t="s">
        <v>238</v>
      </c>
      <c r="D20" s="9">
        <f t="shared" si="0"/>
        <v>989</v>
      </c>
      <c r="E20" s="9">
        <v>989</v>
      </c>
      <c r="F20">
        <v>989</v>
      </c>
      <c r="I20" t="s">
        <v>490</v>
      </c>
      <c r="J20" s="9" t="s">
        <v>161</v>
      </c>
    </row>
    <row r="21" spans="1:12" x14ac:dyDescent="0.2">
      <c r="A21" s="9" t="s">
        <v>156</v>
      </c>
      <c r="B21" s="9" t="s">
        <v>171</v>
      </c>
      <c r="C21" s="73" t="s">
        <v>213</v>
      </c>
      <c r="D21" s="9">
        <f t="shared" si="0"/>
        <v>1044</v>
      </c>
      <c r="E21" s="9">
        <v>989</v>
      </c>
      <c r="F21">
        <v>1099</v>
      </c>
      <c r="J21" s="9" t="s">
        <v>239</v>
      </c>
    </row>
    <row r="22" spans="1:12" x14ac:dyDescent="0.2">
      <c r="A22" s="9" t="s">
        <v>156</v>
      </c>
      <c r="B22" s="9" t="s">
        <v>171</v>
      </c>
      <c r="C22" s="73" t="s">
        <v>240</v>
      </c>
      <c r="D22" s="9">
        <f t="shared" si="0"/>
        <v>1165.6666666666667</v>
      </c>
      <c r="E22" s="9">
        <v>1124</v>
      </c>
      <c r="F22">
        <v>1124</v>
      </c>
      <c r="G22" s="9">
        <v>1249</v>
      </c>
      <c r="I22" t="s">
        <v>499</v>
      </c>
      <c r="J22" t="s">
        <v>169</v>
      </c>
      <c r="K22" t="s">
        <v>432</v>
      </c>
    </row>
    <row r="23" spans="1:12" x14ac:dyDescent="0.2">
      <c r="A23" s="9" t="s">
        <v>652</v>
      </c>
      <c r="B23" s="9" t="s">
        <v>171</v>
      </c>
      <c r="C23" s="73" t="s">
        <v>621</v>
      </c>
      <c r="D23" s="9">
        <f t="shared" si="0"/>
        <v>1799</v>
      </c>
      <c r="H23" s="9">
        <v>1799</v>
      </c>
    </row>
    <row r="24" spans="1:12" x14ac:dyDescent="0.2">
      <c r="A24" s="6" t="s">
        <v>157</v>
      </c>
      <c r="B24" s="6" t="s">
        <v>177</v>
      </c>
      <c r="C24" s="73">
        <v>71422</v>
      </c>
      <c r="D24" s="9">
        <f t="shared" si="0"/>
        <v>949.99</v>
      </c>
      <c r="E24">
        <v>949.99</v>
      </c>
      <c r="I24" t="s">
        <v>148</v>
      </c>
    </row>
    <row r="25" spans="1:12" x14ac:dyDescent="0.2">
      <c r="A25" s="6" t="s">
        <v>157</v>
      </c>
      <c r="B25" s="6" t="s">
        <v>177</v>
      </c>
      <c r="C25" s="73" t="s">
        <v>198</v>
      </c>
      <c r="D25" s="9" t="str">
        <f t="shared" si="0"/>
        <v/>
      </c>
      <c r="E25"/>
    </row>
    <row r="26" spans="1:12" x14ac:dyDescent="0.2">
      <c r="A26" s="6" t="s">
        <v>157</v>
      </c>
      <c r="B26" s="6" t="s">
        <v>177</v>
      </c>
      <c r="C26" s="73">
        <v>91583</v>
      </c>
      <c r="D26" s="9">
        <f t="shared" si="0"/>
        <v>1139.99</v>
      </c>
      <c r="E26">
        <v>1139.99</v>
      </c>
      <c r="I26" t="s">
        <v>241</v>
      </c>
    </row>
    <row r="27" spans="1:12" x14ac:dyDescent="0.2">
      <c r="A27" s="6" t="s">
        <v>157</v>
      </c>
      <c r="B27" s="6" t="s">
        <v>180</v>
      </c>
      <c r="C27" s="73" t="s">
        <v>199</v>
      </c>
      <c r="D27" s="9" t="str">
        <f t="shared" si="0"/>
        <v/>
      </c>
    </row>
    <row r="28" spans="1:12" x14ac:dyDescent="0.2">
      <c r="A28" s="6" t="s">
        <v>157</v>
      </c>
      <c r="B28" s="6" t="s">
        <v>180</v>
      </c>
      <c r="C28" s="73" t="s">
        <v>200</v>
      </c>
      <c r="D28" s="9">
        <f t="shared" si="0"/>
        <v>1099.4949999999999</v>
      </c>
      <c r="G28" s="9">
        <v>1099</v>
      </c>
      <c r="H28" s="77">
        <v>1099.99</v>
      </c>
      <c r="K28" t="s">
        <v>468</v>
      </c>
      <c r="L28" t="s">
        <v>147</v>
      </c>
    </row>
    <row r="29" spans="1:12" x14ac:dyDescent="0.2">
      <c r="A29" s="6" t="s">
        <v>157</v>
      </c>
      <c r="B29" s="6" t="s">
        <v>180</v>
      </c>
      <c r="C29" s="73" t="s">
        <v>376</v>
      </c>
      <c r="D29" s="9">
        <f t="shared" si="0"/>
        <v>1234</v>
      </c>
      <c r="F29">
        <v>1169</v>
      </c>
      <c r="G29" s="9">
        <v>1299</v>
      </c>
      <c r="J29" t="s">
        <v>170</v>
      </c>
      <c r="K29" t="s">
        <v>465</v>
      </c>
    </row>
    <row r="30" spans="1:12" x14ac:dyDescent="0.2">
      <c r="A30" s="9" t="s">
        <v>421</v>
      </c>
      <c r="B30" s="6" t="s">
        <v>171</v>
      </c>
      <c r="C30" s="73" t="s">
        <v>201</v>
      </c>
      <c r="D30" s="76">
        <f t="shared" si="0"/>
        <v>724.32999999999993</v>
      </c>
      <c r="E30" s="76">
        <v>749.99</v>
      </c>
      <c r="F30">
        <v>674</v>
      </c>
      <c r="G30" s="9">
        <v>749</v>
      </c>
      <c r="I30" t="s">
        <v>149</v>
      </c>
      <c r="J30" s="9" t="s">
        <v>168</v>
      </c>
      <c r="K30" t="s">
        <v>432</v>
      </c>
    </row>
    <row r="31" spans="1:12" x14ac:dyDescent="0.2">
      <c r="A31" s="9" t="s">
        <v>622</v>
      </c>
      <c r="B31" s="6" t="s">
        <v>174</v>
      </c>
      <c r="C31" s="73" t="s">
        <v>202</v>
      </c>
      <c r="D31" s="76">
        <f t="shared" si="0"/>
        <v>627.6633333333333</v>
      </c>
      <c r="E31" s="76">
        <v>649.99</v>
      </c>
      <c r="F31">
        <v>584</v>
      </c>
      <c r="G31" s="9">
        <v>649</v>
      </c>
      <c r="I31" t="s">
        <v>150</v>
      </c>
      <c r="J31" t="s">
        <v>245</v>
      </c>
      <c r="K31" t="s">
        <v>423</v>
      </c>
    </row>
    <row r="32" spans="1:12" x14ac:dyDescent="0.2">
      <c r="A32" s="9" t="s">
        <v>622</v>
      </c>
      <c r="B32" s="6" t="s">
        <v>177</v>
      </c>
      <c r="C32" s="73">
        <v>84722</v>
      </c>
      <c r="D32" s="9">
        <f t="shared" si="0"/>
        <v>602.99</v>
      </c>
      <c r="E32" s="76">
        <v>602.99</v>
      </c>
      <c r="I32" t="s">
        <v>151</v>
      </c>
    </row>
    <row r="33" spans="1:11" x14ac:dyDescent="0.2">
      <c r="A33" s="9" t="s">
        <v>422</v>
      </c>
      <c r="B33" s="6" t="s">
        <v>178</v>
      </c>
      <c r="C33" s="73" t="s">
        <v>203</v>
      </c>
      <c r="D33" s="76">
        <f t="shared" si="0"/>
        <v>999.99</v>
      </c>
      <c r="E33" s="76">
        <v>999.99</v>
      </c>
      <c r="I33" t="s">
        <v>152</v>
      </c>
    </row>
    <row r="34" spans="1:11" x14ac:dyDescent="0.2">
      <c r="A34" s="9" t="s">
        <v>622</v>
      </c>
      <c r="B34" s="6" t="s">
        <v>171</v>
      </c>
      <c r="C34" s="73" t="s">
        <v>204</v>
      </c>
      <c r="D34" s="76">
        <f t="shared" si="0"/>
        <v>564.33000000000004</v>
      </c>
      <c r="E34" s="76">
        <v>599.99</v>
      </c>
      <c r="F34">
        <v>494</v>
      </c>
      <c r="G34" s="9">
        <v>599</v>
      </c>
      <c r="I34" t="s">
        <v>153</v>
      </c>
      <c r="J34" s="9" t="s">
        <v>173</v>
      </c>
      <c r="K34" t="s">
        <v>432</v>
      </c>
    </row>
    <row r="35" spans="1:11" x14ac:dyDescent="0.2">
      <c r="A35" s="9" t="s">
        <v>622</v>
      </c>
      <c r="B35" s="6" t="s">
        <v>174</v>
      </c>
      <c r="C35" s="73" t="s">
        <v>205</v>
      </c>
      <c r="D35" s="9">
        <f t="shared" si="0"/>
        <v>649.495</v>
      </c>
      <c r="E35" s="76">
        <v>649.99</v>
      </c>
      <c r="G35" s="9">
        <v>649</v>
      </c>
      <c r="I35" t="s">
        <v>154</v>
      </c>
      <c r="K35" t="s">
        <v>423</v>
      </c>
    </row>
    <row r="36" spans="1:11" x14ac:dyDescent="0.2">
      <c r="A36" s="9" t="s">
        <v>421</v>
      </c>
      <c r="B36" s="6" t="s">
        <v>171</v>
      </c>
      <c r="C36" s="73" t="s">
        <v>206</v>
      </c>
      <c r="D36" s="76">
        <f t="shared" si="0"/>
        <v>593.33000000000004</v>
      </c>
      <c r="E36" s="76">
        <v>629.99</v>
      </c>
      <c r="F36">
        <v>521</v>
      </c>
      <c r="G36" s="9">
        <v>629</v>
      </c>
      <c r="I36" t="s">
        <v>155</v>
      </c>
      <c r="J36" t="s">
        <v>172</v>
      </c>
      <c r="K36" t="s">
        <v>432</v>
      </c>
    </row>
    <row r="37" spans="1:11" x14ac:dyDescent="0.2">
      <c r="A37" s="9" t="s">
        <v>421</v>
      </c>
      <c r="B37" s="6" t="s">
        <v>174</v>
      </c>
      <c r="C37" s="73" t="s">
        <v>207</v>
      </c>
      <c r="D37" s="76">
        <f t="shared" si="0"/>
        <v>656.6633333333333</v>
      </c>
      <c r="E37" s="76">
        <v>679.99</v>
      </c>
      <c r="F37">
        <v>611</v>
      </c>
      <c r="G37" s="9">
        <v>679</v>
      </c>
      <c r="I37" t="s">
        <v>158</v>
      </c>
      <c r="J37" t="s">
        <v>249</v>
      </c>
      <c r="K37" t="s">
        <v>423</v>
      </c>
    </row>
    <row r="38" spans="1:11" x14ac:dyDescent="0.2">
      <c r="A38" s="9" t="s">
        <v>422</v>
      </c>
      <c r="B38" s="6" t="s">
        <v>178</v>
      </c>
      <c r="C38" s="73" t="s">
        <v>208</v>
      </c>
      <c r="D38" s="76">
        <f t="shared" si="0"/>
        <v>1149.99</v>
      </c>
      <c r="E38" s="76">
        <v>1149.99</v>
      </c>
      <c r="I38" t="s">
        <v>159</v>
      </c>
    </row>
    <row r="39" spans="1:11" x14ac:dyDescent="0.2">
      <c r="A39" s="9" t="s">
        <v>654</v>
      </c>
      <c r="B39" s="6" t="s">
        <v>171</v>
      </c>
      <c r="C39" s="73" t="s">
        <v>209</v>
      </c>
      <c r="D39" s="9">
        <f t="shared" si="0"/>
        <v>493.33333333333331</v>
      </c>
      <c r="E39" s="76">
        <v>550</v>
      </c>
      <c r="F39">
        <v>381</v>
      </c>
      <c r="G39" s="9">
        <v>549</v>
      </c>
      <c r="I39" t="s">
        <v>486</v>
      </c>
      <c r="J39" t="s">
        <v>168</v>
      </c>
      <c r="K39" t="s">
        <v>432</v>
      </c>
    </row>
    <row r="40" spans="1:11" x14ac:dyDescent="0.2">
      <c r="A40" s="9" t="s">
        <v>654</v>
      </c>
      <c r="B40" s="6" t="s">
        <v>171</v>
      </c>
      <c r="C40" s="73" t="s">
        <v>210</v>
      </c>
      <c r="D40" s="9">
        <f t="shared" si="0"/>
        <v>616.33333333333337</v>
      </c>
      <c r="E40" s="76">
        <v>629</v>
      </c>
      <c r="F40">
        <v>521</v>
      </c>
      <c r="G40" s="9">
        <v>699</v>
      </c>
      <c r="I40" t="s">
        <v>487</v>
      </c>
      <c r="J40" s="9" t="s">
        <v>168</v>
      </c>
      <c r="K40" t="s">
        <v>432</v>
      </c>
    </row>
    <row r="41" spans="1:11" x14ac:dyDescent="0.2">
      <c r="A41" s="9" t="s">
        <v>654</v>
      </c>
      <c r="B41" s="6" t="s">
        <v>171</v>
      </c>
      <c r="C41" s="73" t="s">
        <v>211</v>
      </c>
      <c r="D41" s="9">
        <f t="shared" si="0"/>
        <v>699</v>
      </c>
      <c r="E41" s="76">
        <v>674</v>
      </c>
      <c r="F41">
        <v>674</v>
      </c>
      <c r="G41" s="9">
        <v>749</v>
      </c>
      <c r="I41" t="s">
        <v>489</v>
      </c>
      <c r="J41" s="9" t="s">
        <v>168</v>
      </c>
      <c r="K41" t="s">
        <v>432</v>
      </c>
    </row>
    <row r="42" spans="1:11" x14ac:dyDescent="0.2">
      <c r="A42" s="9" t="s">
        <v>654</v>
      </c>
      <c r="B42" s="6" t="s">
        <v>171</v>
      </c>
      <c r="C42" s="73" t="s">
        <v>212</v>
      </c>
      <c r="D42" s="9">
        <f t="shared" si="0"/>
        <v>1099</v>
      </c>
      <c r="E42" s="76">
        <v>1099</v>
      </c>
      <c r="F42">
        <v>1099</v>
      </c>
      <c r="G42" s="9">
        <v>1099</v>
      </c>
      <c r="I42" t="s">
        <v>493</v>
      </c>
      <c r="J42" s="9" t="s">
        <v>168</v>
      </c>
      <c r="K42" t="s">
        <v>432</v>
      </c>
    </row>
    <row r="43" spans="1:11" x14ac:dyDescent="0.2">
      <c r="A43" s="9" t="s">
        <v>654</v>
      </c>
      <c r="B43" s="6" t="s">
        <v>171</v>
      </c>
      <c r="C43" s="73" t="s">
        <v>214</v>
      </c>
      <c r="D43" s="9">
        <f t="shared" si="0"/>
        <v>839</v>
      </c>
      <c r="E43" s="76">
        <v>809</v>
      </c>
      <c r="F43">
        <v>809</v>
      </c>
      <c r="G43" s="9">
        <v>899</v>
      </c>
      <c r="I43" t="s">
        <v>495</v>
      </c>
      <c r="J43" s="9" t="s">
        <v>168</v>
      </c>
      <c r="K43" t="s">
        <v>432</v>
      </c>
    </row>
    <row r="44" spans="1:11" x14ac:dyDescent="0.2">
      <c r="A44" s="9" t="s">
        <v>654</v>
      </c>
      <c r="B44" s="6" t="s">
        <v>171</v>
      </c>
      <c r="C44" s="73" t="s">
        <v>215</v>
      </c>
      <c r="D44" s="9">
        <f t="shared" si="0"/>
        <v>550</v>
      </c>
      <c r="F44">
        <v>521</v>
      </c>
      <c r="G44" s="9">
        <v>579</v>
      </c>
      <c r="J44" s="9" t="s">
        <v>168</v>
      </c>
      <c r="K44" t="s">
        <v>432</v>
      </c>
    </row>
    <row r="45" spans="1:11" x14ac:dyDescent="0.2">
      <c r="A45" s="9" t="s">
        <v>654</v>
      </c>
      <c r="B45" s="6" t="s">
        <v>171</v>
      </c>
      <c r="C45" s="73" t="s">
        <v>216</v>
      </c>
      <c r="D45" s="9">
        <f t="shared" si="0"/>
        <v>799</v>
      </c>
      <c r="F45">
        <v>799</v>
      </c>
      <c r="J45" s="9" t="s">
        <v>168</v>
      </c>
    </row>
    <row r="46" spans="1:11" x14ac:dyDescent="0.2">
      <c r="A46" s="9" t="s">
        <v>654</v>
      </c>
      <c r="B46" s="6" t="s">
        <v>171</v>
      </c>
      <c r="C46" s="73" t="s">
        <v>217</v>
      </c>
      <c r="D46" s="9">
        <f t="shared" si="0"/>
        <v>1199</v>
      </c>
      <c r="F46">
        <v>1199</v>
      </c>
      <c r="J46" s="9" t="s">
        <v>168</v>
      </c>
    </row>
    <row r="47" spans="1:11" x14ac:dyDescent="0.2">
      <c r="A47" s="9" t="s">
        <v>654</v>
      </c>
      <c r="B47" s="6" t="s">
        <v>171</v>
      </c>
      <c r="C47" s="73" t="s">
        <v>218</v>
      </c>
      <c r="D47" s="9">
        <f t="shared" si="0"/>
        <v>719</v>
      </c>
      <c r="F47">
        <v>719</v>
      </c>
      <c r="J47" s="9" t="s">
        <v>168</v>
      </c>
    </row>
    <row r="48" spans="1:11" x14ac:dyDescent="0.2">
      <c r="A48" s="9" t="s">
        <v>654</v>
      </c>
      <c r="B48" s="6" t="s">
        <v>171</v>
      </c>
      <c r="C48" s="73" t="s">
        <v>219</v>
      </c>
      <c r="D48" s="9">
        <f t="shared" si="0"/>
        <v>699</v>
      </c>
      <c r="F48">
        <v>699</v>
      </c>
      <c r="J48" s="9" t="s">
        <v>168</v>
      </c>
    </row>
    <row r="49" spans="1:11" x14ac:dyDescent="0.2">
      <c r="A49" s="9" t="s">
        <v>654</v>
      </c>
      <c r="B49" s="6" t="s">
        <v>171</v>
      </c>
      <c r="C49" s="73" t="s">
        <v>220</v>
      </c>
      <c r="D49" s="9">
        <f t="shared" si="0"/>
        <v>899</v>
      </c>
      <c r="E49" s="9">
        <v>899</v>
      </c>
      <c r="F49">
        <v>899</v>
      </c>
      <c r="I49" t="s">
        <v>508</v>
      </c>
      <c r="J49" s="9" t="s">
        <v>168</v>
      </c>
    </row>
    <row r="50" spans="1:11" x14ac:dyDescent="0.2">
      <c r="A50" s="9" t="s">
        <v>654</v>
      </c>
      <c r="B50" s="6" t="s">
        <v>171</v>
      </c>
      <c r="C50" s="73" t="s">
        <v>221</v>
      </c>
      <c r="D50" s="9">
        <f t="shared" si="0"/>
        <v>605.66666666666663</v>
      </c>
      <c r="E50" s="9">
        <v>584</v>
      </c>
      <c r="F50">
        <v>584</v>
      </c>
      <c r="G50" s="9">
        <v>649</v>
      </c>
      <c r="I50" t="s">
        <v>498</v>
      </c>
      <c r="J50" s="9" t="s">
        <v>168</v>
      </c>
      <c r="K50" t="s">
        <v>432</v>
      </c>
    </row>
    <row r="51" spans="1:11" x14ac:dyDescent="0.2">
      <c r="A51" s="9" t="s">
        <v>654</v>
      </c>
      <c r="B51" s="6" t="s">
        <v>171</v>
      </c>
      <c r="C51" s="73" t="s">
        <v>222</v>
      </c>
      <c r="D51" s="9">
        <f t="shared" si="0"/>
        <v>989</v>
      </c>
      <c r="F51">
        <v>989</v>
      </c>
      <c r="J51" s="9" t="s">
        <v>168</v>
      </c>
    </row>
    <row r="52" spans="1:11" x14ac:dyDescent="0.2">
      <c r="A52" s="9" t="s">
        <v>654</v>
      </c>
      <c r="B52" s="6" t="s">
        <v>171</v>
      </c>
      <c r="C52" s="73" t="s">
        <v>223</v>
      </c>
      <c r="D52" s="9">
        <f t="shared" si="0"/>
        <v>1039.5</v>
      </c>
      <c r="E52" s="9">
        <v>1000</v>
      </c>
      <c r="F52">
        <v>1079</v>
      </c>
      <c r="I52" t="s">
        <v>505</v>
      </c>
      <c r="J52" s="9" t="s">
        <v>168</v>
      </c>
    </row>
    <row r="53" spans="1:11" x14ac:dyDescent="0.2">
      <c r="A53" s="9" t="s">
        <v>654</v>
      </c>
      <c r="B53" s="6" t="s">
        <v>171</v>
      </c>
      <c r="C53" s="73" t="s">
        <v>224</v>
      </c>
      <c r="D53" s="9">
        <f t="shared" si="0"/>
        <v>1044</v>
      </c>
      <c r="F53">
        <v>989</v>
      </c>
      <c r="G53" s="9">
        <v>1099</v>
      </c>
      <c r="J53" s="9" t="s">
        <v>168</v>
      </c>
      <c r="K53" t="s">
        <v>432</v>
      </c>
    </row>
    <row r="54" spans="1:11" x14ac:dyDescent="0.2">
      <c r="A54" s="9" t="s">
        <v>654</v>
      </c>
      <c r="B54" s="6" t="s">
        <v>171</v>
      </c>
      <c r="C54" s="73" t="s">
        <v>225</v>
      </c>
      <c r="D54" s="9">
        <f t="shared" si="0"/>
        <v>1449</v>
      </c>
      <c r="F54">
        <v>1449</v>
      </c>
      <c r="J54" s="9" t="s">
        <v>168</v>
      </c>
    </row>
    <row r="55" spans="1:11" x14ac:dyDescent="0.2">
      <c r="A55" s="9" t="s">
        <v>654</v>
      </c>
      <c r="B55" s="6" t="s">
        <v>171</v>
      </c>
      <c r="C55" s="73" t="s">
        <v>226</v>
      </c>
      <c r="D55" s="9">
        <f t="shared" si="0"/>
        <v>539</v>
      </c>
      <c r="F55">
        <v>539</v>
      </c>
      <c r="J55" s="9" t="s">
        <v>168</v>
      </c>
    </row>
    <row r="56" spans="1:11" x14ac:dyDescent="0.2">
      <c r="A56" s="9" t="s">
        <v>654</v>
      </c>
      <c r="B56" s="6" t="s">
        <v>171</v>
      </c>
      <c r="C56" s="73" t="s">
        <v>227</v>
      </c>
      <c r="D56" s="9">
        <f t="shared" si="0"/>
        <v>1519</v>
      </c>
      <c r="F56">
        <v>1439</v>
      </c>
      <c r="G56" s="9">
        <v>1599</v>
      </c>
      <c r="J56" s="9" t="s">
        <v>168</v>
      </c>
      <c r="K56" t="s">
        <v>432</v>
      </c>
    </row>
    <row r="57" spans="1:11" x14ac:dyDescent="0.2">
      <c r="A57" s="9" t="s">
        <v>654</v>
      </c>
      <c r="B57" s="6" t="s">
        <v>174</v>
      </c>
      <c r="C57" s="73" t="s">
        <v>228</v>
      </c>
      <c r="D57" s="9">
        <f t="shared" si="0"/>
        <v>617.33333333333337</v>
      </c>
      <c r="E57" s="9">
        <v>584</v>
      </c>
      <c r="F57">
        <v>649</v>
      </c>
      <c r="G57" s="9">
        <v>619</v>
      </c>
      <c r="I57" t="s">
        <v>524</v>
      </c>
      <c r="J57" t="s">
        <v>243</v>
      </c>
      <c r="K57" t="s">
        <v>423</v>
      </c>
    </row>
    <row r="58" spans="1:11" x14ac:dyDescent="0.2">
      <c r="A58" s="9" t="s">
        <v>422</v>
      </c>
      <c r="B58" s="6" t="s">
        <v>174</v>
      </c>
      <c r="C58" s="73" t="s">
        <v>229</v>
      </c>
      <c r="D58" s="9">
        <f t="shared" si="0"/>
        <v>949</v>
      </c>
      <c r="F58">
        <v>899</v>
      </c>
      <c r="G58" s="9">
        <v>999</v>
      </c>
      <c r="J58" t="s">
        <v>175</v>
      </c>
      <c r="K58" t="s">
        <v>423</v>
      </c>
    </row>
    <row r="59" spans="1:11" x14ac:dyDescent="0.2">
      <c r="A59" s="9" t="s">
        <v>654</v>
      </c>
      <c r="B59" s="6" t="s">
        <v>174</v>
      </c>
      <c r="C59" s="73" t="s">
        <v>230</v>
      </c>
      <c r="D59" s="9">
        <f t="shared" si="0"/>
        <v>449</v>
      </c>
      <c r="F59">
        <v>449</v>
      </c>
      <c r="J59" t="s">
        <v>243</v>
      </c>
    </row>
    <row r="60" spans="1:11" x14ac:dyDescent="0.2">
      <c r="A60" s="9" t="s">
        <v>654</v>
      </c>
      <c r="B60" s="6" t="s">
        <v>174</v>
      </c>
      <c r="C60" s="73" t="s">
        <v>231</v>
      </c>
      <c r="D60" s="9">
        <f t="shared" si="0"/>
        <v>1062.3333333333333</v>
      </c>
      <c r="E60" s="9">
        <v>989</v>
      </c>
      <c r="F60">
        <v>1099</v>
      </c>
      <c r="G60" s="9">
        <v>1099</v>
      </c>
      <c r="I60" t="s">
        <v>534</v>
      </c>
      <c r="J60" s="9" t="s">
        <v>243</v>
      </c>
      <c r="K60" t="s">
        <v>423</v>
      </c>
    </row>
    <row r="61" spans="1:11" x14ac:dyDescent="0.2">
      <c r="A61" s="9" t="s">
        <v>654</v>
      </c>
      <c r="B61" s="6" t="s">
        <v>174</v>
      </c>
      <c r="C61" s="73" t="s">
        <v>232</v>
      </c>
      <c r="D61" s="9">
        <f t="shared" si="0"/>
        <v>745.66666666666663</v>
      </c>
      <c r="E61" s="9">
        <v>719</v>
      </c>
      <c r="F61">
        <v>719</v>
      </c>
      <c r="G61" s="9">
        <v>799</v>
      </c>
      <c r="I61" t="s">
        <v>535</v>
      </c>
      <c r="J61" s="9" t="s">
        <v>243</v>
      </c>
      <c r="K61" t="s">
        <v>423</v>
      </c>
    </row>
    <row r="62" spans="1:11" x14ac:dyDescent="0.2">
      <c r="A62" s="9" t="s">
        <v>654</v>
      </c>
      <c r="B62" s="6" t="s">
        <v>174</v>
      </c>
      <c r="C62" s="73" t="s">
        <v>233</v>
      </c>
      <c r="D62" s="9">
        <f t="shared" si="0"/>
        <v>645</v>
      </c>
      <c r="E62" s="9">
        <v>661</v>
      </c>
      <c r="F62">
        <v>629</v>
      </c>
      <c r="I62" t="s">
        <v>527</v>
      </c>
      <c r="J62" s="9" t="s">
        <v>243</v>
      </c>
    </row>
    <row r="63" spans="1:11" x14ac:dyDescent="0.2">
      <c r="A63" s="9" t="s">
        <v>654</v>
      </c>
      <c r="B63" s="6" t="s">
        <v>174</v>
      </c>
      <c r="C63" s="73" t="s">
        <v>234</v>
      </c>
      <c r="D63" s="9">
        <f t="shared" si="0"/>
        <v>709</v>
      </c>
      <c r="F63">
        <v>719</v>
      </c>
      <c r="G63" s="9">
        <v>699</v>
      </c>
      <c r="J63" s="9" t="s">
        <v>243</v>
      </c>
      <c r="K63" t="s">
        <v>423</v>
      </c>
    </row>
    <row r="64" spans="1:11" x14ac:dyDescent="0.2">
      <c r="A64" s="9" t="s">
        <v>654</v>
      </c>
      <c r="B64" s="6" t="s">
        <v>174</v>
      </c>
      <c r="C64" s="73" t="s">
        <v>242</v>
      </c>
      <c r="D64" s="9">
        <f t="shared" si="0"/>
        <v>1305.6666666666667</v>
      </c>
      <c r="E64" s="9">
        <v>1259</v>
      </c>
      <c r="F64">
        <v>1259</v>
      </c>
      <c r="G64" s="9">
        <v>1399</v>
      </c>
      <c r="I64" t="s">
        <v>539</v>
      </c>
      <c r="J64" s="9" t="s">
        <v>243</v>
      </c>
      <c r="K64" t="s">
        <v>423</v>
      </c>
    </row>
    <row r="65" spans="1:11" x14ac:dyDescent="0.2">
      <c r="A65" s="9" t="s">
        <v>654</v>
      </c>
      <c r="B65" s="6" t="s">
        <v>174</v>
      </c>
      <c r="C65" s="73" t="s">
        <v>244</v>
      </c>
      <c r="D65" s="9">
        <f t="shared" si="0"/>
        <v>531</v>
      </c>
      <c r="E65" s="9">
        <v>550</v>
      </c>
      <c r="F65">
        <v>494</v>
      </c>
      <c r="G65" s="9">
        <v>549</v>
      </c>
      <c r="I65" t="s">
        <v>528</v>
      </c>
      <c r="J65" t="s">
        <v>243</v>
      </c>
      <c r="K65" t="s">
        <v>423</v>
      </c>
    </row>
    <row r="66" spans="1:11" x14ac:dyDescent="0.2">
      <c r="A66" s="9" t="s">
        <v>654</v>
      </c>
      <c r="B66" s="6" t="s">
        <v>174</v>
      </c>
      <c r="C66" s="73" t="s">
        <v>246</v>
      </c>
      <c r="D66" s="9">
        <f t="shared" ref="D66:D129" si="1">IF(SUM(E66:H66)&gt;0,AVERAGE(E66:H66),"")</f>
        <v>579.33333333333337</v>
      </c>
      <c r="E66" s="9">
        <v>600</v>
      </c>
      <c r="F66">
        <v>539</v>
      </c>
      <c r="G66" s="9">
        <v>599</v>
      </c>
      <c r="I66" t="s">
        <v>525</v>
      </c>
      <c r="J66" t="s">
        <v>243</v>
      </c>
      <c r="K66" t="s">
        <v>423</v>
      </c>
    </row>
    <row r="67" spans="1:11" x14ac:dyDescent="0.2">
      <c r="A67" s="9" t="s">
        <v>654</v>
      </c>
      <c r="B67" s="6" t="s">
        <v>174</v>
      </c>
      <c r="C67" s="73" t="s">
        <v>247</v>
      </c>
      <c r="D67" s="9">
        <f t="shared" si="1"/>
        <v>522.33333333333337</v>
      </c>
      <c r="E67" s="9">
        <v>495</v>
      </c>
      <c r="F67">
        <v>523</v>
      </c>
      <c r="G67" s="9">
        <v>549</v>
      </c>
      <c r="I67" t="s">
        <v>538</v>
      </c>
      <c r="J67" t="s">
        <v>243</v>
      </c>
      <c r="K67" t="s">
        <v>423</v>
      </c>
    </row>
    <row r="68" spans="1:11" x14ac:dyDescent="0.2">
      <c r="A68" s="9" t="s">
        <v>654</v>
      </c>
      <c r="B68" s="6" t="s">
        <v>174</v>
      </c>
      <c r="C68" s="73" t="s">
        <v>248</v>
      </c>
      <c r="D68" s="9">
        <f t="shared" si="1"/>
        <v>1329.5</v>
      </c>
      <c r="E68" s="9">
        <v>1400</v>
      </c>
      <c r="F68">
        <v>1259</v>
      </c>
      <c r="I68" t="s">
        <v>541</v>
      </c>
      <c r="J68" t="s">
        <v>243</v>
      </c>
    </row>
    <row r="69" spans="1:11" x14ac:dyDescent="0.2">
      <c r="A69" s="9" t="s">
        <v>654</v>
      </c>
      <c r="B69" s="6" t="s">
        <v>174</v>
      </c>
      <c r="C69" s="73" t="s">
        <v>250</v>
      </c>
      <c r="D69" s="9">
        <f t="shared" si="1"/>
        <v>1234.5</v>
      </c>
      <c r="E69" s="9">
        <v>1300</v>
      </c>
      <c r="F69">
        <v>1169</v>
      </c>
      <c r="I69" t="s">
        <v>540</v>
      </c>
      <c r="J69" t="s">
        <v>243</v>
      </c>
    </row>
    <row r="70" spans="1:11" x14ac:dyDescent="0.2">
      <c r="A70" s="9" t="s">
        <v>654</v>
      </c>
      <c r="B70" s="6" t="s">
        <v>174</v>
      </c>
      <c r="C70" s="73" t="s">
        <v>251</v>
      </c>
      <c r="D70" s="9">
        <f t="shared" si="1"/>
        <v>559</v>
      </c>
      <c r="E70" s="9">
        <v>539</v>
      </c>
      <c r="F70">
        <v>539</v>
      </c>
      <c r="G70" s="9">
        <v>599</v>
      </c>
      <c r="I70" t="s">
        <v>522</v>
      </c>
      <c r="J70" t="s">
        <v>243</v>
      </c>
      <c r="K70" t="s">
        <v>431</v>
      </c>
    </row>
    <row r="71" spans="1:11" x14ac:dyDescent="0.2">
      <c r="A71" s="9" t="s">
        <v>654</v>
      </c>
      <c r="B71" s="6" t="s">
        <v>174</v>
      </c>
      <c r="C71" s="73" t="s">
        <v>252</v>
      </c>
      <c r="D71" s="9">
        <f t="shared" si="1"/>
        <v>1066</v>
      </c>
      <c r="E71" s="9">
        <v>1100</v>
      </c>
      <c r="F71">
        <v>1099</v>
      </c>
      <c r="G71" s="9">
        <v>999</v>
      </c>
      <c r="I71" t="s">
        <v>531</v>
      </c>
      <c r="J71" t="s">
        <v>243</v>
      </c>
      <c r="K71" t="s">
        <v>423</v>
      </c>
    </row>
    <row r="72" spans="1:11" x14ac:dyDescent="0.2">
      <c r="A72" s="9" t="s">
        <v>654</v>
      </c>
      <c r="B72" s="6" t="s">
        <v>174</v>
      </c>
      <c r="C72" s="73" t="s">
        <v>253</v>
      </c>
      <c r="D72" s="9">
        <f t="shared" si="1"/>
        <v>664</v>
      </c>
      <c r="F72">
        <v>629</v>
      </c>
      <c r="G72" s="9">
        <v>699</v>
      </c>
      <c r="J72" t="s">
        <v>243</v>
      </c>
      <c r="K72" t="s">
        <v>431</v>
      </c>
    </row>
    <row r="73" spans="1:11" x14ac:dyDescent="0.2">
      <c r="A73" s="9" t="s">
        <v>654</v>
      </c>
      <c r="B73" s="6" t="s">
        <v>174</v>
      </c>
      <c r="C73" s="73" t="s">
        <v>254</v>
      </c>
      <c r="D73" s="9">
        <f t="shared" si="1"/>
        <v>480.66666666666669</v>
      </c>
      <c r="E73" s="9">
        <v>450</v>
      </c>
      <c r="F73">
        <v>494</v>
      </c>
      <c r="G73" s="9">
        <v>498</v>
      </c>
      <c r="I73" t="s">
        <v>523</v>
      </c>
      <c r="J73" t="s">
        <v>243</v>
      </c>
      <c r="K73" t="s">
        <v>423</v>
      </c>
    </row>
    <row r="74" spans="1:11" x14ac:dyDescent="0.2">
      <c r="A74" s="9" t="s">
        <v>654</v>
      </c>
      <c r="B74" s="6" t="s">
        <v>174</v>
      </c>
      <c r="C74" s="73" t="s">
        <v>255</v>
      </c>
      <c r="D74" s="9">
        <f t="shared" si="1"/>
        <v>531</v>
      </c>
      <c r="E74" s="9">
        <v>550</v>
      </c>
      <c r="F74">
        <v>494</v>
      </c>
      <c r="G74" s="9">
        <v>549</v>
      </c>
      <c r="I74" t="s">
        <v>529</v>
      </c>
      <c r="J74" t="s">
        <v>243</v>
      </c>
      <c r="K74" t="s">
        <v>423</v>
      </c>
    </row>
    <row r="75" spans="1:11" x14ac:dyDescent="0.2">
      <c r="A75" s="9" t="s">
        <v>654</v>
      </c>
      <c r="B75" s="6" t="s">
        <v>174</v>
      </c>
      <c r="C75" s="73" t="s">
        <v>256</v>
      </c>
      <c r="D75" s="9">
        <f t="shared" si="1"/>
        <v>1199.5</v>
      </c>
      <c r="E75" s="9">
        <v>1200</v>
      </c>
      <c r="F75">
        <v>1199</v>
      </c>
      <c r="I75" t="s">
        <v>537</v>
      </c>
      <c r="J75" t="s">
        <v>243</v>
      </c>
    </row>
    <row r="76" spans="1:11" x14ac:dyDescent="0.2">
      <c r="A76" s="9" t="s">
        <v>654</v>
      </c>
      <c r="B76" s="6" t="s">
        <v>174</v>
      </c>
      <c r="C76" s="73" t="s">
        <v>257</v>
      </c>
      <c r="D76" s="9">
        <f t="shared" si="1"/>
        <v>854</v>
      </c>
      <c r="F76">
        <v>809</v>
      </c>
      <c r="G76" s="9">
        <v>899</v>
      </c>
      <c r="J76" t="s">
        <v>243</v>
      </c>
      <c r="K76" t="s">
        <v>423</v>
      </c>
    </row>
    <row r="77" spans="1:11" x14ac:dyDescent="0.2">
      <c r="A77" s="9" t="s">
        <v>654</v>
      </c>
      <c r="B77" s="6" t="s">
        <v>174</v>
      </c>
      <c r="C77" s="73" t="s">
        <v>258</v>
      </c>
      <c r="D77" s="9">
        <f t="shared" si="1"/>
        <v>1089</v>
      </c>
      <c r="F77">
        <v>1079</v>
      </c>
      <c r="G77" s="9">
        <v>1099</v>
      </c>
      <c r="J77" t="s">
        <v>243</v>
      </c>
      <c r="K77" t="s">
        <v>423</v>
      </c>
    </row>
    <row r="78" spans="1:11" x14ac:dyDescent="0.2">
      <c r="A78" s="9" t="s">
        <v>654</v>
      </c>
      <c r="B78" s="6" t="s">
        <v>174</v>
      </c>
      <c r="C78" s="73" t="s">
        <v>259</v>
      </c>
      <c r="D78" s="9">
        <f t="shared" si="1"/>
        <v>712</v>
      </c>
      <c r="E78" s="9">
        <v>750</v>
      </c>
      <c r="F78">
        <v>674</v>
      </c>
      <c r="I78" t="s">
        <v>526</v>
      </c>
      <c r="J78" t="s">
        <v>243</v>
      </c>
    </row>
    <row r="79" spans="1:11" x14ac:dyDescent="0.2">
      <c r="A79" s="9" t="s">
        <v>654</v>
      </c>
      <c r="B79" s="6" t="s">
        <v>174</v>
      </c>
      <c r="C79" s="73" t="s">
        <v>260</v>
      </c>
      <c r="D79" s="9">
        <f t="shared" si="1"/>
        <v>899</v>
      </c>
      <c r="F79">
        <v>899</v>
      </c>
      <c r="G79" s="9">
        <v>899</v>
      </c>
      <c r="J79" t="s">
        <v>243</v>
      </c>
      <c r="K79" t="s">
        <v>431</v>
      </c>
    </row>
    <row r="80" spans="1:11" x14ac:dyDescent="0.2">
      <c r="A80" s="9" t="s">
        <v>654</v>
      </c>
      <c r="B80" s="6" t="s">
        <v>174</v>
      </c>
      <c r="C80" s="73" t="s">
        <v>261</v>
      </c>
      <c r="D80" s="9">
        <f t="shared" si="1"/>
        <v>1256</v>
      </c>
      <c r="E80" s="9">
        <v>1300</v>
      </c>
      <c r="F80">
        <v>1169</v>
      </c>
      <c r="G80" s="9">
        <v>1299</v>
      </c>
      <c r="I80" t="s">
        <v>536</v>
      </c>
      <c r="J80" t="s">
        <v>243</v>
      </c>
      <c r="K80" t="s">
        <v>423</v>
      </c>
    </row>
    <row r="81" spans="1:11" x14ac:dyDescent="0.2">
      <c r="A81" s="9" t="s">
        <v>654</v>
      </c>
      <c r="B81" s="6" t="s">
        <v>174</v>
      </c>
      <c r="C81" s="73" t="s">
        <v>262</v>
      </c>
      <c r="D81" s="9">
        <f t="shared" si="1"/>
        <v>1044.5</v>
      </c>
      <c r="E81" s="9">
        <v>1100</v>
      </c>
      <c r="F81">
        <v>989</v>
      </c>
      <c r="I81" t="s">
        <v>530</v>
      </c>
      <c r="J81" t="s">
        <v>243</v>
      </c>
    </row>
    <row r="82" spans="1:11" x14ac:dyDescent="0.2">
      <c r="A82" s="9" t="s">
        <v>654</v>
      </c>
      <c r="B82" s="6" t="s">
        <v>263</v>
      </c>
      <c r="C82" s="73" t="s">
        <v>264</v>
      </c>
      <c r="D82" s="9">
        <f t="shared" si="1"/>
        <v>799</v>
      </c>
      <c r="F82">
        <v>799</v>
      </c>
      <c r="J82" t="s">
        <v>265</v>
      </c>
    </row>
    <row r="83" spans="1:11" x14ac:dyDescent="0.2">
      <c r="A83" s="9" t="s">
        <v>654</v>
      </c>
      <c r="B83" s="6" t="s">
        <v>263</v>
      </c>
      <c r="C83" s="73" t="s">
        <v>266</v>
      </c>
      <c r="D83" s="9">
        <f t="shared" si="1"/>
        <v>675.66666666666663</v>
      </c>
      <c r="E83" s="9">
        <v>629</v>
      </c>
      <c r="F83">
        <v>699</v>
      </c>
      <c r="G83" s="9">
        <v>699</v>
      </c>
      <c r="I83" t="s">
        <v>549</v>
      </c>
      <c r="J83" s="9" t="s">
        <v>265</v>
      </c>
      <c r="K83" t="s">
        <v>445</v>
      </c>
    </row>
    <row r="84" spans="1:11" x14ac:dyDescent="0.2">
      <c r="A84" s="9" t="s">
        <v>654</v>
      </c>
      <c r="B84" s="6" t="s">
        <v>263</v>
      </c>
      <c r="C84" s="73" t="s">
        <v>267</v>
      </c>
      <c r="D84" s="9">
        <f t="shared" si="1"/>
        <v>726.66666666666663</v>
      </c>
      <c r="E84" s="9">
        <v>700</v>
      </c>
      <c r="F84">
        <v>699</v>
      </c>
      <c r="G84" s="9">
        <v>781</v>
      </c>
      <c r="I84" t="s">
        <v>543</v>
      </c>
      <c r="J84" s="9" t="s">
        <v>265</v>
      </c>
      <c r="K84" t="s">
        <v>445</v>
      </c>
    </row>
    <row r="85" spans="1:11" x14ac:dyDescent="0.2">
      <c r="A85" s="9" t="s">
        <v>654</v>
      </c>
      <c r="B85" s="6" t="s">
        <v>263</v>
      </c>
      <c r="C85" s="73" t="s">
        <v>268</v>
      </c>
      <c r="D85" s="9">
        <f t="shared" si="1"/>
        <v>612.33333333333337</v>
      </c>
      <c r="E85" s="9">
        <v>539</v>
      </c>
      <c r="F85">
        <v>699</v>
      </c>
      <c r="G85" s="9">
        <v>599</v>
      </c>
      <c r="I85" t="s">
        <v>547</v>
      </c>
      <c r="J85" s="9" t="s">
        <v>265</v>
      </c>
      <c r="K85" t="s">
        <v>445</v>
      </c>
    </row>
    <row r="86" spans="1:11" x14ac:dyDescent="0.2">
      <c r="A86" s="9" t="s">
        <v>654</v>
      </c>
      <c r="B86" s="6" t="s">
        <v>263</v>
      </c>
      <c r="C86" s="73" t="s">
        <v>269</v>
      </c>
      <c r="D86" s="9">
        <f t="shared" si="1"/>
        <v>772.33333333333337</v>
      </c>
      <c r="E86" s="9">
        <v>719</v>
      </c>
      <c r="F86">
        <v>799</v>
      </c>
      <c r="G86" s="9">
        <v>799</v>
      </c>
      <c r="I86" t="s">
        <v>548</v>
      </c>
      <c r="J86" s="9" t="s">
        <v>265</v>
      </c>
      <c r="K86" t="s">
        <v>445</v>
      </c>
    </row>
    <row r="87" spans="1:11" x14ac:dyDescent="0.2">
      <c r="A87" s="9" t="s">
        <v>654</v>
      </c>
      <c r="B87" s="6" t="s">
        <v>263</v>
      </c>
      <c r="C87" s="73" t="s">
        <v>270</v>
      </c>
      <c r="D87" s="9">
        <f t="shared" si="1"/>
        <v>1099</v>
      </c>
      <c r="F87">
        <v>1099</v>
      </c>
      <c r="J87" s="9" t="s">
        <v>265</v>
      </c>
    </row>
    <row r="88" spans="1:11" x14ac:dyDescent="0.2">
      <c r="A88" s="9" t="s">
        <v>654</v>
      </c>
      <c r="B88" s="6" t="s">
        <v>263</v>
      </c>
      <c r="C88" s="73" t="s">
        <v>271</v>
      </c>
      <c r="D88" s="9">
        <f t="shared" si="1"/>
        <v>999</v>
      </c>
      <c r="F88">
        <v>999</v>
      </c>
      <c r="J88" s="9" t="s">
        <v>265</v>
      </c>
    </row>
    <row r="89" spans="1:11" x14ac:dyDescent="0.2">
      <c r="A89" s="9" t="s">
        <v>654</v>
      </c>
      <c r="B89" s="6" t="s">
        <v>263</v>
      </c>
      <c r="C89" s="73" t="s">
        <v>272</v>
      </c>
      <c r="D89" s="9">
        <f t="shared" si="1"/>
        <v>999</v>
      </c>
      <c r="F89">
        <v>999</v>
      </c>
      <c r="J89" s="9" t="s">
        <v>265</v>
      </c>
    </row>
    <row r="90" spans="1:11" x14ac:dyDescent="0.2">
      <c r="A90" s="9" t="s">
        <v>654</v>
      </c>
      <c r="B90" s="6" t="s">
        <v>263</v>
      </c>
      <c r="C90" s="73" t="s">
        <v>273</v>
      </c>
      <c r="D90" s="9">
        <f t="shared" si="1"/>
        <v>979.66666666666663</v>
      </c>
      <c r="E90" s="9">
        <v>1100</v>
      </c>
      <c r="F90">
        <v>869</v>
      </c>
      <c r="G90" s="9">
        <v>970</v>
      </c>
      <c r="I90" t="s">
        <v>545</v>
      </c>
      <c r="J90" s="9" t="s">
        <v>265</v>
      </c>
      <c r="K90" t="s">
        <v>445</v>
      </c>
    </row>
    <row r="91" spans="1:11" x14ac:dyDescent="0.2">
      <c r="A91" s="9" t="s">
        <v>654</v>
      </c>
      <c r="B91" s="6" t="s">
        <v>263</v>
      </c>
      <c r="C91" s="73" t="s">
        <v>274</v>
      </c>
      <c r="D91" s="9">
        <f t="shared" si="1"/>
        <v>1159.3333333333333</v>
      </c>
      <c r="E91" s="9">
        <v>1200</v>
      </c>
      <c r="F91">
        <v>1199</v>
      </c>
      <c r="G91" s="9">
        <v>1079</v>
      </c>
      <c r="I91" t="s">
        <v>546</v>
      </c>
      <c r="J91" s="9" t="s">
        <v>265</v>
      </c>
      <c r="K91" t="s">
        <v>445</v>
      </c>
    </row>
    <row r="92" spans="1:11" x14ac:dyDescent="0.2">
      <c r="A92" s="9" t="s">
        <v>654</v>
      </c>
      <c r="B92" s="6" t="s">
        <v>263</v>
      </c>
      <c r="C92" s="73" t="s">
        <v>275</v>
      </c>
      <c r="D92" s="9">
        <f t="shared" si="1"/>
        <v>1517.3333333333333</v>
      </c>
      <c r="E92" s="9">
        <v>1700</v>
      </c>
      <c r="F92">
        <v>1349</v>
      </c>
      <c r="G92" s="9">
        <v>1503</v>
      </c>
      <c r="I92" t="s">
        <v>553</v>
      </c>
      <c r="J92" s="9" t="s">
        <v>265</v>
      </c>
      <c r="K92" t="s">
        <v>445</v>
      </c>
    </row>
    <row r="93" spans="1:11" x14ac:dyDescent="0.2">
      <c r="A93" s="9" t="s">
        <v>654</v>
      </c>
      <c r="B93" s="6" t="s">
        <v>263</v>
      </c>
      <c r="C93" s="73" t="s">
        <v>276</v>
      </c>
      <c r="D93" s="9">
        <f t="shared" si="1"/>
        <v>1049</v>
      </c>
      <c r="F93">
        <v>1049</v>
      </c>
      <c r="J93" s="9" t="s">
        <v>265</v>
      </c>
    </row>
    <row r="94" spans="1:11" x14ac:dyDescent="0.2">
      <c r="A94" s="9" t="s">
        <v>654</v>
      </c>
      <c r="B94" s="6" t="s">
        <v>263</v>
      </c>
      <c r="C94" s="73" t="s">
        <v>277</v>
      </c>
      <c r="D94" s="9">
        <f t="shared" si="1"/>
        <v>772.33333333333337</v>
      </c>
      <c r="E94" s="9">
        <v>719</v>
      </c>
      <c r="F94">
        <v>799</v>
      </c>
      <c r="G94" s="9">
        <v>799</v>
      </c>
      <c r="I94" t="s">
        <v>550</v>
      </c>
      <c r="J94" s="9" t="s">
        <v>265</v>
      </c>
      <c r="K94" t="s">
        <v>445</v>
      </c>
    </row>
    <row r="95" spans="1:11" x14ac:dyDescent="0.2">
      <c r="A95" s="9" t="s">
        <v>654</v>
      </c>
      <c r="B95" s="6" t="s">
        <v>263</v>
      </c>
      <c r="C95" s="73" t="s">
        <v>278</v>
      </c>
      <c r="D95" s="9">
        <f t="shared" si="1"/>
        <v>1399</v>
      </c>
      <c r="F95">
        <v>1399</v>
      </c>
      <c r="J95" s="9" t="s">
        <v>265</v>
      </c>
    </row>
    <row r="96" spans="1:11" x14ac:dyDescent="0.2">
      <c r="A96" s="9" t="s">
        <v>654</v>
      </c>
      <c r="B96" s="6" t="s">
        <v>263</v>
      </c>
      <c r="C96" s="73" t="s">
        <v>279</v>
      </c>
      <c r="D96" s="9">
        <f t="shared" si="1"/>
        <v>965.66666666666663</v>
      </c>
      <c r="E96" s="9">
        <v>899</v>
      </c>
      <c r="F96">
        <v>999</v>
      </c>
      <c r="G96" s="9">
        <v>999</v>
      </c>
      <c r="J96" s="9" t="s">
        <v>265</v>
      </c>
      <c r="K96" t="s">
        <v>445</v>
      </c>
    </row>
    <row r="97" spans="1:11" x14ac:dyDescent="0.2">
      <c r="A97" s="9" t="s">
        <v>654</v>
      </c>
      <c r="B97" s="6" t="s">
        <v>263</v>
      </c>
      <c r="C97" s="73" t="s">
        <v>280</v>
      </c>
      <c r="D97" s="9">
        <f t="shared" si="1"/>
        <v>1099</v>
      </c>
      <c r="F97">
        <v>1099</v>
      </c>
      <c r="J97" s="9" t="s">
        <v>265</v>
      </c>
    </row>
    <row r="98" spans="1:11" x14ac:dyDescent="0.2">
      <c r="A98" s="9" t="s">
        <v>654</v>
      </c>
      <c r="B98" s="6" t="s">
        <v>263</v>
      </c>
      <c r="C98" s="73" t="s">
        <v>281</v>
      </c>
      <c r="D98" s="9">
        <f t="shared" si="1"/>
        <v>1599</v>
      </c>
      <c r="F98">
        <v>1599</v>
      </c>
      <c r="J98" s="9" t="s">
        <v>265</v>
      </c>
    </row>
    <row r="99" spans="1:11" x14ac:dyDescent="0.2">
      <c r="A99" s="9" t="s">
        <v>654</v>
      </c>
      <c r="B99" s="6" t="s">
        <v>263</v>
      </c>
      <c r="C99" s="73" t="s">
        <v>282</v>
      </c>
      <c r="D99" s="9">
        <f t="shared" si="1"/>
        <v>951</v>
      </c>
      <c r="E99" s="9">
        <v>1000</v>
      </c>
      <c r="F99">
        <v>961</v>
      </c>
      <c r="G99" s="9">
        <v>892</v>
      </c>
      <c r="I99" t="s">
        <v>544</v>
      </c>
      <c r="J99" s="9" t="s">
        <v>265</v>
      </c>
      <c r="K99" t="s">
        <v>445</v>
      </c>
    </row>
    <row r="100" spans="1:11" x14ac:dyDescent="0.2">
      <c r="A100" s="9" t="s">
        <v>654</v>
      </c>
      <c r="B100" s="6" t="s">
        <v>263</v>
      </c>
      <c r="C100" s="73" t="s">
        <v>283</v>
      </c>
      <c r="D100" s="9">
        <f t="shared" si="1"/>
        <v>741</v>
      </c>
      <c r="E100" s="9">
        <v>675</v>
      </c>
      <c r="F100">
        <v>799</v>
      </c>
      <c r="G100" s="9">
        <v>749</v>
      </c>
      <c r="I100" t="s">
        <v>554</v>
      </c>
      <c r="J100" s="9" t="s">
        <v>265</v>
      </c>
      <c r="K100" t="s">
        <v>445</v>
      </c>
    </row>
    <row r="101" spans="1:11" x14ac:dyDescent="0.2">
      <c r="A101" s="9" t="s">
        <v>654</v>
      </c>
      <c r="B101" s="6" t="s">
        <v>263</v>
      </c>
      <c r="C101" s="73" t="s">
        <v>284</v>
      </c>
      <c r="D101" s="9">
        <f t="shared" si="1"/>
        <v>1449</v>
      </c>
      <c r="E101" s="9">
        <v>1349</v>
      </c>
      <c r="F101">
        <v>1499</v>
      </c>
      <c r="G101" s="9">
        <v>1499</v>
      </c>
      <c r="I101" t="s">
        <v>552</v>
      </c>
      <c r="J101" s="9" t="s">
        <v>265</v>
      </c>
      <c r="K101" t="s">
        <v>445</v>
      </c>
    </row>
    <row r="102" spans="1:11" x14ac:dyDescent="0.2">
      <c r="A102" s="9" t="s">
        <v>654</v>
      </c>
      <c r="B102" s="6" t="s">
        <v>263</v>
      </c>
      <c r="C102" s="73" t="s">
        <v>285</v>
      </c>
      <c r="D102" s="9">
        <f t="shared" si="1"/>
        <v>1099</v>
      </c>
      <c r="F102">
        <v>1099</v>
      </c>
      <c r="G102" s="9">
        <v>1099</v>
      </c>
      <c r="J102" s="9" t="s">
        <v>265</v>
      </c>
      <c r="K102" t="s">
        <v>445</v>
      </c>
    </row>
    <row r="103" spans="1:11" x14ac:dyDescent="0.2">
      <c r="A103" s="9" t="s">
        <v>654</v>
      </c>
      <c r="B103" s="6" t="s">
        <v>263</v>
      </c>
      <c r="C103" s="73" t="s">
        <v>286</v>
      </c>
      <c r="D103" s="9">
        <f t="shared" si="1"/>
        <v>1199</v>
      </c>
      <c r="F103">
        <v>1199</v>
      </c>
      <c r="G103" s="9">
        <v>1199</v>
      </c>
      <c r="J103" s="9" t="s">
        <v>265</v>
      </c>
      <c r="K103" t="s">
        <v>445</v>
      </c>
    </row>
    <row r="104" spans="1:11" x14ac:dyDescent="0.2">
      <c r="A104" s="9" t="s">
        <v>654</v>
      </c>
      <c r="B104" s="6" t="s">
        <v>263</v>
      </c>
      <c r="C104" s="73" t="s">
        <v>287</v>
      </c>
      <c r="D104" s="9">
        <f t="shared" si="1"/>
        <v>965.66666666666663</v>
      </c>
      <c r="E104" s="9">
        <v>899</v>
      </c>
      <c r="F104">
        <v>999</v>
      </c>
      <c r="G104" s="9">
        <v>999</v>
      </c>
      <c r="I104" t="s">
        <v>551</v>
      </c>
      <c r="J104" s="9" t="s">
        <v>265</v>
      </c>
      <c r="K104" t="s">
        <v>445</v>
      </c>
    </row>
    <row r="105" spans="1:11" x14ac:dyDescent="0.2">
      <c r="A105" s="9" t="s">
        <v>66</v>
      </c>
      <c r="B105" s="6" t="s">
        <v>174</v>
      </c>
      <c r="C105" s="73" t="s">
        <v>288</v>
      </c>
      <c r="D105" s="9">
        <f t="shared" si="1"/>
        <v>724</v>
      </c>
      <c r="E105" s="9">
        <v>674</v>
      </c>
      <c r="F105">
        <v>749</v>
      </c>
      <c r="G105" s="9">
        <v>749</v>
      </c>
      <c r="I105" t="s">
        <v>598</v>
      </c>
      <c r="J105" t="s">
        <v>289</v>
      </c>
      <c r="K105" t="s">
        <v>449</v>
      </c>
    </row>
    <row r="106" spans="1:11" x14ac:dyDescent="0.2">
      <c r="A106" s="9" t="s">
        <v>66</v>
      </c>
      <c r="B106" s="6" t="s">
        <v>174</v>
      </c>
      <c r="C106" s="73" t="s">
        <v>290</v>
      </c>
      <c r="D106" s="9">
        <f t="shared" si="1"/>
        <v>1159</v>
      </c>
      <c r="E106" s="9">
        <v>1079</v>
      </c>
      <c r="F106">
        <v>1199</v>
      </c>
      <c r="G106" s="9">
        <v>1199</v>
      </c>
      <c r="I106" t="s">
        <v>601</v>
      </c>
      <c r="J106" s="9" t="s">
        <v>289</v>
      </c>
      <c r="K106" t="s">
        <v>449</v>
      </c>
    </row>
    <row r="107" spans="1:11" x14ac:dyDescent="0.2">
      <c r="A107" s="9" t="s">
        <v>66</v>
      </c>
      <c r="B107" s="6" t="s">
        <v>174</v>
      </c>
      <c r="C107" s="73" t="s">
        <v>291</v>
      </c>
      <c r="D107" s="9">
        <f t="shared" si="1"/>
        <v>902.33333333333337</v>
      </c>
      <c r="E107" s="9">
        <v>809</v>
      </c>
      <c r="F107">
        <v>999</v>
      </c>
      <c r="G107" s="9">
        <v>899</v>
      </c>
      <c r="I107" t="s">
        <v>601</v>
      </c>
      <c r="J107" s="9" t="s">
        <v>289</v>
      </c>
      <c r="K107" t="s">
        <v>449</v>
      </c>
    </row>
    <row r="108" spans="1:11" x14ac:dyDescent="0.2">
      <c r="A108" s="9" t="s">
        <v>66</v>
      </c>
      <c r="B108" s="6" t="s">
        <v>174</v>
      </c>
      <c r="C108" s="73" t="s">
        <v>292</v>
      </c>
      <c r="D108" s="9">
        <f t="shared" si="1"/>
        <v>568.5</v>
      </c>
      <c r="F108">
        <v>539</v>
      </c>
      <c r="G108" s="9">
        <v>598</v>
      </c>
      <c r="J108" s="9" t="s">
        <v>289</v>
      </c>
      <c r="K108" t="s">
        <v>449</v>
      </c>
    </row>
    <row r="109" spans="1:11" x14ac:dyDescent="0.2">
      <c r="A109" s="9" t="s">
        <v>66</v>
      </c>
      <c r="B109" s="6" t="s">
        <v>174</v>
      </c>
      <c r="C109" s="73" t="s">
        <v>293</v>
      </c>
      <c r="D109" s="9">
        <f t="shared" si="1"/>
        <v>577.33333333333337</v>
      </c>
      <c r="E109" s="9">
        <v>550</v>
      </c>
      <c r="F109">
        <v>584</v>
      </c>
      <c r="G109" s="9">
        <v>598</v>
      </c>
      <c r="I109" t="s">
        <v>601</v>
      </c>
      <c r="J109" s="9" t="s">
        <v>289</v>
      </c>
      <c r="K109" t="s">
        <v>449</v>
      </c>
    </row>
    <row r="110" spans="1:11" x14ac:dyDescent="0.2">
      <c r="A110" s="9" t="s">
        <v>66</v>
      </c>
      <c r="B110" s="6" t="s">
        <v>174</v>
      </c>
      <c r="C110" s="73" t="s">
        <v>294</v>
      </c>
      <c r="D110" s="9">
        <f t="shared" si="1"/>
        <v>732</v>
      </c>
      <c r="E110" s="9">
        <v>745</v>
      </c>
      <c r="F110">
        <v>719</v>
      </c>
      <c r="I110" t="s">
        <v>601</v>
      </c>
      <c r="J110" s="9" t="s">
        <v>289</v>
      </c>
    </row>
    <row r="111" spans="1:11" x14ac:dyDescent="0.2">
      <c r="A111" s="9" t="s">
        <v>66</v>
      </c>
      <c r="B111" s="6" t="s">
        <v>174</v>
      </c>
      <c r="C111" s="73" t="s">
        <v>295</v>
      </c>
      <c r="D111" s="9">
        <f t="shared" si="1"/>
        <v>676</v>
      </c>
      <c r="E111" s="9">
        <v>700</v>
      </c>
      <c r="F111">
        <v>629</v>
      </c>
      <c r="G111" s="9">
        <v>699</v>
      </c>
      <c r="I111" t="s">
        <v>598</v>
      </c>
      <c r="J111" s="9" t="s">
        <v>289</v>
      </c>
      <c r="K111" t="s">
        <v>449</v>
      </c>
    </row>
    <row r="112" spans="1:11" x14ac:dyDescent="0.2">
      <c r="A112" s="9" t="s">
        <v>66</v>
      </c>
      <c r="B112" s="6" t="s">
        <v>174</v>
      </c>
      <c r="C112" s="73" t="s">
        <v>296</v>
      </c>
      <c r="D112" s="9">
        <f t="shared" si="1"/>
        <v>1234</v>
      </c>
      <c r="F112">
        <v>1169</v>
      </c>
      <c r="G112" s="9">
        <v>1299</v>
      </c>
      <c r="J112" s="9" t="s">
        <v>289</v>
      </c>
      <c r="K112" t="s">
        <v>449</v>
      </c>
    </row>
    <row r="113" spans="1:11" x14ac:dyDescent="0.2">
      <c r="A113" s="9" t="s">
        <v>66</v>
      </c>
      <c r="B113" s="6" t="s">
        <v>174</v>
      </c>
      <c r="C113" s="73" t="s">
        <v>297</v>
      </c>
      <c r="D113" s="9">
        <f t="shared" si="1"/>
        <v>627.66666666666663</v>
      </c>
      <c r="E113" s="9">
        <v>650</v>
      </c>
      <c r="F113">
        <v>584</v>
      </c>
      <c r="G113" s="9">
        <v>649</v>
      </c>
      <c r="I113" t="s">
        <v>598</v>
      </c>
      <c r="J113" s="9" t="s">
        <v>289</v>
      </c>
      <c r="K113" t="s">
        <v>449</v>
      </c>
    </row>
    <row r="114" spans="1:11" x14ac:dyDescent="0.2">
      <c r="A114" s="9" t="s">
        <v>66</v>
      </c>
      <c r="B114" s="6" t="s">
        <v>174</v>
      </c>
      <c r="C114" s="73" t="s">
        <v>298</v>
      </c>
      <c r="D114" s="9">
        <f t="shared" si="1"/>
        <v>1079</v>
      </c>
      <c r="F114">
        <v>1079</v>
      </c>
      <c r="J114" s="9" t="s">
        <v>289</v>
      </c>
    </row>
    <row r="115" spans="1:11" x14ac:dyDescent="0.2">
      <c r="A115" s="9" t="s">
        <v>66</v>
      </c>
      <c r="B115" s="6" t="s">
        <v>174</v>
      </c>
      <c r="C115" s="73" t="s">
        <v>299</v>
      </c>
      <c r="D115" s="9">
        <f t="shared" si="1"/>
        <v>1166</v>
      </c>
      <c r="E115" s="9">
        <v>1200</v>
      </c>
      <c r="F115">
        <v>1199</v>
      </c>
      <c r="G115" s="9">
        <v>1099</v>
      </c>
      <c r="I115" t="s">
        <v>611</v>
      </c>
      <c r="J115" s="9" t="s">
        <v>289</v>
      </c>
      <c r="K115" t="s">
        <v>449</v>
      </c>
    </row>
    <row r="116" spans="1:11" x14ac:dyDescent="0.2">
      <c r="A116" s="9" t="s">
        <v>66</v>
      </c>
      <c r="B116" s="6" t="s">
        <v>174</v>
      </c>
      <c r="C116" s="73" t="s">
        <v>300</v>
      </c>
      <c r="D116" s="9">
        <f t="shared" si="1"/>
        <v>674</v>
      </c>
      <c r="F116">
        <v>674</v>
      </c>
      <c r="J116" s="9" t="s">
        <v>289</v>
      </c>
    </row>
    <row r="117" spans="1:11" x14ac:dyDescent="0.2">
      <c r="A117" s="9" t="s">
        <v>66</v>
      </c>
      <c r="B117" s="6" t="s">
        <v>174</v>
      </c>
      <c r="C117" s="73" t="s">
        <v>301</v>
      </c>
      <c r="D117" s="9">
        <f t="shared" si="1"/>
        <v>774.5</v>
      </c>
      <c r="E117" s="9">
        <v>785</v>
      </c>
      <c r="F117">
        <v>764</v>
      </c>
      <c r="I117" t="s">
        <v>601</v>
      </c>
      <c r="J117" s="9" t="s">
        <v>289</v>
      </c>
    </row>
    <row r="118" spans="1:11" x14ac:dyDescent="0.2">
      <c r="A118" s="9" t="s">
        <v>66</v>
      </c>
      <c r="B118" s="6" t="s">
        <v>174</v>
      </c>
      <c r="C118" s="73" t="s">
        <v>302</v>
      </c>
      <c r="D118" s="9">
        <f t="shared" si="1"/>
        <v>1349</v>
      </c>
      <c r="E118" s="9">
        <v>1349</v>
      </c>
      <c r="F118">
        <v>1349</v>
      </c>
      <c r="I118" t="s">
        <v>601</v>
      </c>
      <c r="J118" s="9" t="s">
        <v>289</v>
      </c>
    </row>
    <row r="119" spans="1:11" x14ac:dyDescent="0.2">
      <c r="A119" s="9" t="s">
        <v>66</v>
      </c>
      <c r="B119" s="6" t="s">
        <v>174</v>
      </c>
      <c r="C119" s="73" t="s">
        <v>303</v>
      </c>
      <c r="D119" s="9">
        <f t="shared" si="1"/>
        <v>994</v>
      </c>
      <c r="F119">
        <v>989</v>
      </c>
      <c r="G119" s="9">
        <v>999</v>
      </c>
      <c r="J119" s="9" t="s">
        <v>289</v>
      </c>
      <c r="K119" t="s">
        <v>449</v>
      </c>
    </row>
    <row r="120" spans="1:11" x14ac:dyDescent="0.2">
      <c r="A120" s="9" t="s">
        <v>66</v>
      </c>
      <c r="B120" s="6" t="s">
        <v>174</v>
      </c>
      <c r="C120" s="73" t="s">
        <v>304</v>
      </c>
      <c r="D120" s="9">
        <f t="shared" si="1"/>
        <v>759</v>
      </c>
      <c r="F120">
        <v>719</v>
      </c>
      <c r="G120" s="9">
        <v>799</v>
      </c>
      <c r="J120" s="9" t="s">
        <v>289</v>
      </c>
      <c r="K120" t="s">
        <v>449</v>
      </c>
    </row>
    <row r="121" spans="1:11" x14ac:dyDescent="0.2">
      <c r="A121" s="9" t="s">
        <v>66</v>
      </c>
      <c r="B121" s="6" t="s">
        <v>174</v>
      </c>
      <c r="C121" s="73" t="s">
        <v>305</v>
      </c>
      <c r="D121" s="9">
        <f t="shared" si="1"/>
        <v>1234</v>
      </c>
      <c r="F121">
        <v>1169</v>
      </c>
      <c r="G121" s="9">
        <v>1299</v>
      </c>
      <c r="J121" s="9" t="s">
        <v>289</v>
      </c>
      <c r="K121" t="s">
        <v>449</v>
      </c>
    </row>
    <row r="122" spans="1:11" x14ac:dyDescent="0.2">
      <c r="A122" s="9" t="s">
        <v>66</v>
      </c>
      <c r="B122" s="6" t="s">
        <v>174</v>
      </c>
      <c r="C122" s="73" t="s">
        <v>306</v>
      </c>
      <c r="D122" s="9">
        <f t="shared" si="1"/>
        <v>652.33333333333337</v>
      </c>
      <c r="E122" s="9">
        <v>629</v>
      </c>
      <c r="F122">
        <v>629</v>
      </c>
      <c r="G122" s="9">
        <v>699</v>
      </c>
      <c r="I122" t="s">
        <v>601</v>
      </c>
      <c r="J122" s="9" t="s">
        <v>289</v>
      </c>
      <c r="K122" t="s">
        <v>449</v>
      </c>
    </row>
    <row r="123" spans="1:11" x14ac:dyDescent="0.2">
      <c r="A123" s="9" t="s">
        <v>66</v>
      </c>
      <c r="B123" s="6" t="s">
        <v>174</v>
      </c>
      <c r="C123" s="73" t="s">
        <v>307</v>
      </c>
      <c r="D123" s="9">
        <f t="shared" si="1"/>
        <v>1449.3333333333333</v>
      </c>
      <c r="E123" s="9">
        <v>1500</v>
      </c>
      <c r="F123">
        <v>1349</v>
      </c>
      <c r="G123" s="9">
        <v>1499</v>
      </c>
      <c r="I123" t="s">
        <v>598</v>
      </c>
      <c r="J123" s="9" t="s">
        <v>289</v>
      </c>
      <c r="K123" t="s">
        <v>449</v>
      </c>
    </row>
    <row r="124" spans="1:11" x14ac:dyDescent="0.2">
      <c r="A124" s="9" t="s">
        <v>66</v>
      </c>
      <c r="B124" s="6" t="s">
        <v>174</v>
      </c>
      <c r="C124" s="73" t="s">
        <v>308</v>
      </c>
      <c r="D124" s="9">
        <f t="shared" si="1"/>
        <v>621.33333333333337</v>
      </c>
      <c r="E124" s="9">
        <v>631</v>
      </c>
      <c r="F124">
        <v>584</v>
      </c>
      <c r="G124" s="9">
        <v>649</v>
      </c>
      <c r="I124" t="s">
        <v>601</v>
      </c>
      <c r="J124" s="9" t="s">
        <v>289</v>
      </c>
      <c r="K124" t="s">
        <v>449</v>
      </c>
    </row>
    <row r="125" spans="1:11" x14ac:dyDescent="0.2">
      <c r="A125" s="9" t="s">
        <v>66</v>
      </c>
      <c r="B125" s="6" t="s">
        <v>174</v>
      </c>
      <c r="C125" s="73" t="s">
        <v>309</v>
      </c>
      <c r="D125" s="9">
        <f t="shared" si="1"/>
        <v>617</v>
      </c>
      <c r="E125" s="9">
        <v>585</v>
      </c>
      <c r="F125">
        <v>617</v>
      </c>
      <c r="G125" s="9">
        <v>649</v>
      </c>
      <c r="I125" t="s">
        <v>601</v>
      </c>
      <c r="J125" s="9" t="s">
        <v>289</v>
      </c>
      <c r="K125" t="s">
        <v>449</v>
      </c>
    </row>
    <row r="126" spans="1:11" x14ac:dyDescent="0.2">
      <c r="A126" s="9" t="s">
        <v>66</v>
      </c>
      <c r="B126" s="6" t="s">
        <v>174</v>
      </c>
      <c r="C126" s="73" t="s">
        <v>310</v>
      </c>
      <c r="D126" s="9">
        <f t="shared" si="1"/>
        <v>1259</v>
      </c>
      <c r="E126" s="9">
        <v>1259</v>
      </c>
      <c r="F126">
        <v>1259</v>
      </c>
      <c r="I126" t="s">
        <v>601</v>
      </c>
      <c r="J126" s="9" t="s">
        <v>289</v>
      </c>
    </row>
    <row r="127" spans="1:11" x14ac:dyDescent="0.2">
      <c r="A127" s="9" t="s">
        <v>66</v>
      </c>
      <c r="B127" s="6" t="s">
        <v>174</v>
      </c>
      <c r="C127" s="73" t="s">
        <v>311</v>
      </c>
      <c r="D127" s="9">
        <f t="shared" si="1"/>
        <v>804</v>
      </c>
      <c r="F127">
        <v>809</v>
      </c>
      <c r="G127" s="9">
        <v>799</v>
      </c>
      <c r="J127" s="9" t="s">
        <v>289</v>
      </c>
      <c r="K127" t="s">
        <v>449</v>
      </c>
    </row>
    <row r="128" spans="1:11" x14ac:dyDescent="0.2">
      <c r="A128" s="9" t="s">
        <v>66</v>
      </c>
      <c r="B128" s="6" t="s">
        <v>174</v>
      </c>
      <c r="C128" s="73" t="s">
        <v>312</v>
      </c>
      <c r="D128" s="9">
        <f t="shared" si="1"/>
        <v>1352.6666666666667</v>
      </c>
      <c r="E128" s="9">
        <v>1400</v>
      </c>
      <c r="F128">
        <v>1259</v>
      </c>
      <c r="G128" s="9">
        <v>1399</v>
      </c>
      <c r="I128" t="s">
        <v>601</v>
      </c>
      <c r="J128" s="9" t="s">
        <v>289</v>
      </c>
      <c r="K128" t="s">
        <v>449</v>
      </c>
    </row>
    <row r="129" spans="1:11" x14ac:dyDescent="0.2">
      <c r="A129" s="9" t="s">
        <v>66</v>
      </c>
      <c r="B129" s="6" t="s">
        <v>263</v>
      </c>
      <c r="C129" s="73" t="s">
        <v>313</v>
      </c>
      <c r="D129" s="9">
        <f t="shared" si="1"/>
        <v>889</v>
      </c>
      <c r="F129">
        <v>889</v>
      </c>
      <c r="J129" t="s">
        <v>314</v>
      </c>
    </row>
    <row r="130" spans="1:11" x14ac:dyDescent="0.2">
      <c r="A130" s="9" t="s">
        <v>66</v>
      </c>
      <c r="B130" s="6" t="s">
        <v>263</v>
      </c>
      <c r="C130" s="73" t="s">
        <v>320</v>
      </c>
      <c r="D130">
        <f t="shared" ref="D130:D192" si="2">IF(SUM(E130:H130)&gt;0,AVERAGE(E130:H130),"")</f>
        <v>820</v>
      </c>
      <c r="E130" s="9">
        <v>790</v>
      </c>
      <c r="F130" s="9">
        <v>789</v>
      </c>
      <c r="G130" s="9">
        <v>881</v>
      </c>
      <c r="I130" t="s">
        <v>598</v>
      </c>
      <c r="J130" t="s">
        <v>314</v>
      </c>
      <c r="K130" t="s">
        <v>469</v>
      </c>
    </row>
    <row r="131" spans="1:11" x14ac:dyDescent="0.2">
      <c r="A131" s="9" t="s">
        <v>66</v>
      </c>
      <c r="B131" s="6" t="s">
        <v>263</v>
      </c>
      <c r="C131" s="73" t="s">
        <v>321</v>
      </c>
      <c r="D131">
        <f t="shared" si="2"/>
        <v>772.33333333333337</v>
      </c>
      <c r="E131" s="9">
        <v>719</v>
      </c>
      <c r="F131" s="9">
        <v>799</v>
      </c>
      <c r="G131" s="9">
        <v>799</v>
      </c>
      <c r="I131" t="s">
        <v>598</v>
      </c>
      <c r="J131" s="9" t="s">
        <v>314</v>
      </c>
      <c r="K131" t="s">
        <v>469</v>
      </c>
    </row>
    <row r="132" spans="1:11" x14ac:dyDescent="0.2">
      <c r="A132" s="9" t="s">
        <v>66</v>
      </c>
      <c r="B132" s="6" t="s">
        <v>263</v>
      </c>
      <c r="C132" s="73" t="s">
        <v>322</v>
      </c>
      <c r="D132">
        <f t="shared" si="2"/>
        <v>1099</v>
      </c>
      <c r="F132" s="9">
        <v>1099</v>
      </c>
      <c r="J132" s="9" t="s">
        <v>314</v>
      </c>
    </row>
    <row r="133" spans="1:11" x14ac:dyDescent="0.2">
      <c r="A133" s="9" t="s">
        <v>66</v>
      </c>
      <c r="B133" s="6" t="s">
        <v>263</v>
      </c>
      <c r="C133" s="73" t="s">
        <v>323</v>
      </c>
      <c r="D133">
        <f t="shared" si="2"/>
        <v>1076.3333333333333</v>
      </c>
      <c r="E133" s="9">
        <v>1200</v>
      </c>
      <c r="F133" s="9">
        <v>959</v>
      </c>
      <c r="G133" s="9">
        <v>1070</v>
      </c>
      <c r="I133" t="s">
        <v>598</v>
      </c>
      <c r="J133" s="9" t="s">
        <v>314</v>
      </c>
      <c r="K133" t="s">
        <v>469</v>
      </c>
    </row>
    <row r="134" spans="1:11" x14ac:dyDescent="0.2">
      <c r="A134" s="9" t="s">
        <v>66</v>
      </c>
      <c r="B134" s="6" t="s">
        <v>263</v>
      </c>
      <c r="C134" s="73" t="s">
        <v>324</v>
      </c>
      <c r="D134">
        <f t="shared" si="2"/>
        <v>1099</v>
      </c>
      <c r="F134" s="9">
        <v>1099</v>
      </c>
      <c r="J134" s="9" t="s">
        <v>314</v>
      </c>
    </row>
    <row r="135" spans="1:11" x14ac:dyDescent="0.2">
      <c r="A135" s="9" t="s">
        <v>66</v>
      </c>
      <c r="B135" s="6" t="s">
        <v>263</v>
      </c>
      <c r="C135" s="73" t="s">
        <v>325</v>
      </c>
      <c r="D135">
        <f t="shared" si="2"/>
        <v>709</v>
      </c>
      <c r="E135" s="9">
        <v>629</v>
      </c>
      <c r="F135" s="9">
        <v>799</v>
      </c>
      <c r="G135" s="9">
        <v>699</v>
      </c>
      <c r="I135" t="s">
        <v>598</v>
      </c>
      <c r="J135" s="9" t="s">
        <v>314</v>
      </c>
      <c r="K135" t="s">
        <v>469</v>
      </c>
    </row>
    <row r="136" spans="1:11" x14ac:dyDescent="0.2">
      <c r="A136" s="9" t="s">
        <v>66</v>
      </c>
      <c r="B136" s="6" t="s">
        <v>263</v>
      </c>
      <c r="C136" s="73" t="s">
        <v>326</v>
      </c>
      <c r="D136">
        <f t="shared" si="2"/>
        <v>899</v>
      </c>
      <c r="E136" s="9">
        <v>899</v>
      </c>
      <c r="F136" s="9">
        <v>899</v>
      </c>
      <c r="G136" s="9">
        <v>899</v>
      </c>
      <c r="I136" t="s">
        <v>601</v>
      </c>
      <c r="J136" s="9" t="s">
        <v>314</v>
      </c>
      <c r="K136" t="s">
        <v>469</v>
      </c>
    </row>
    <row r="137" spans="1:11" x14ac:dyDescent="0.2">
      <c r="A137" s="9" t="s">
        <v>66</v>
      </c>
      <c r="B137" s="6" t="s">
        <v>263</v>
      </c>
      <c r="C137" s="73" t="s">
        <v>327</v>
      </c>
      <c r="D137">
        <f t="shared" si="2"/>
        <v>1619</v>
      </c>
      <c r="F137" s="9">
        <v>1699</v>
      </c>
      <c r="G137" s="9">
        <v>1539</v>
      </c>
      <c r="J137" s="9" t="s">
        <v>314</v>
      </c>
      <c r="K137" t="s">
        <v>469</v>
      </c>
    </row>
    <row r="138" spans="1:11" x14ac:dyDescent="0.2">
      <c r="A138" s="9" t="s">
        <v>66</v>
      </c>
      <c r="B138" s="6" t="s">
        <v>263</v>
      </c>
      <c r="C138" s="73" t="s">
        <v>328</v>
      </c>
      <c r="D138">
        <f t="shared" si="2"/>
        <v>1199</v>
      </c>
      <c r="F138" s="9">
        <v>1199</v>
      </c>
      <c r="J138" s="9" t="s">
        <v>314</v>
      </c>
    </row>
    <row r="139" spans="1:11" x14ac:dyDescent="0.2">
      <c r="A139" s="9" t="s">
        <v>66</v>
      </c>
      <c r="B139" s="6" t="s">
        <v>263</v>
      </c>
      <c r="C139" s="73" t="s">
        <v>329</v>
      </c>
      <c r="D139">
        <f t="shared" si="2"/>
        <v>869</v>
      </c>
      <c r="E139" s="9">
        <v>809</v>
      </c>
      <c r="F139" s="9">
        <v>899</v>
      </c>
      <c r="G139" s="9">
        <v>899</v>
      </c>
      <c r="I139" t="s">
        <v>598</v>
      </c>
      <c r="J139" s="9" t="s">
        <v>314</v>
      </c>
      <c r="K139" t="s">
        <v>469</v>
      </c>
    </row>
    <row r="140" spans="1:11" x14ac:dyDescent="0.2">
      <c r="A140" s="9" t="s">
        <v>66</v>
      </c>
      <c r="B140" s="6" t="s">
        <v>263</v>
      </c>
      <c r="C140" s="73" t="s">
        <v>330</v>
      </c>
      <c r="D140">
        <f t="shared" si="2"/>
        <v>1372</v>
      </c>
      <c r="E140" s="9">
        <v>1305</v>
      </c>
      <c r="F140" s="9">
        <v>1439</v>
      </c>
      <c r="I140" t="s">
        <v>601</v>
      </c>
      <c r="J140" s="9" t="s">
        <v>314</v>
      </c>
    </row>
    <row r="141" spans="1:11" x14ac:dyDescent="0.2">
      <c r="A141" s="9" t="s">
        <v>66</v>
      </c>
      <c r="B141" s="6" t="s">
        <v>263</v>
      </c>
      <c r="C141" s="73" t="s">
        <v>331</v>
      </c>
      <c r="D141">
        <f t="shared" si="2"/>
        <v>1499</v>
      </c>
      <c r="F141" s="9">
        <v>1499</v>
      </c>
      <c r="G141" s="9">
        <v>1499</v>
      </c>
      <c r="J141" s="9" t="s">
        <v>314</v>
      </c>
      <c r="K141" t="s">
        <v>469</v>
      </c>
    </row>
    <row r="142" spans="1:11" x14ac:dyDescent="0.2">
      <c r="A142" s="9" t="s">
        <v>66</v>
      </c>
      <c r="B142" s="6" t="s">
        <v>263</v>
      </c>
      <c r="C142" s="73" t="s">
        <v>332</v>
      </c>
      <c r="D142">
        <f t="shared" si="2"/>
        <v>1149</v>
      </c>
      <c r="F142" s="9">
        <v>1149</v>
      </c>
      <c r="J142" s="9" t="s">
        <v>314</v>
      </c>
    </row>
    <row r="143" spans="1:11" x14ac:dyDescent="0.2">
      <c r="A143" s="9" t="s">
        <v>66</v>
      </c>
      <c r="B143" s="6" t="s">
        <v>263</v>
      </c>
      <c r="C143" s="73" t="s">
        <v>333</v>
      </c>
      <c r="D143">
        <f t="shared" si="2"/>
        <v>1062.6666666666667</v>
      </c>
      <c r="E143" s="9">
        <v>990</v>
      </c>
      <c r="F143" s="9">
        <v>1099</v>
      </c>
      <c r="G143" s="9">
        <v>1099</v>
      </c>
      <c r="I143" t="s">
        <v>598</v>
      </c>
      <c r="J143" s="9" t="s">
        <v>314</v>
      </c>
      <c r="K143" t="s">
        <v>469</v>
      </c>
    </row>
    <row r="144" spans="1:11" x14ac:dyDescent="0.2">
      <c r="A144" s="9" t="s">
        <v>66</v>
      </c>
      <c r="B144" s="6" t="s">
        <v>263</v>
      </c>
      <c r="C144" s="73" t="s">
        <v>334</v>
      </c>
      <c r="D144">
        <f t="shared" si="2"/>
        <v>1219.3333333333333</v>
      </c>
      <c r="E144" s="9">
        <v>1300</v>
      </c>
      <c r="F144" s="9">
        <v>1179</v>
      </c>
      <c r="G144" s="9">
        <v>1179</v>
      </c>
      <c r="I144" t="s">
        <v>598</v>
      </c>
      <c r="J144" s="9" t="s">
        <v>314</v>
      </c>
      <c r="K144" t="s">
        <v>469</v>
      </c>
    </row>
    <row r="145" spans="1:11" x14ac:dyDescent="0.2">
      <c r="A145" s="9" t="s">
        <v>66</v>
      </c>
      <c r="B145" s="6" t="s">
        <v>263</v>
      </c>
      <c r="C145" s="73" t="s">
        <v>335</v>
      </c>
      <c r="D145">
        <f t="shared" si="2"/>
        <v>837.66666666666663</v>
      </c>
      <c r="E145" s="9">
        <v>765</v>
      </c>
      <c r="F145" s="9">
        <v>899</v>
      </c>
      <c r="G145" s="9">
        <v>849</v>
      </c>
      <c r="I145" t="s">
        <v>601</v>
      </c>
      <c r="J145" s="9" t="s">
        <v>314</v>
      </c>
      <c r="K145" t="s">
        <v>469</v>
      </c>
    </row>
    <row r="146" spans="1:11" x14ac:dyDescent="0.2">
      <c r="A146" s="9" t="s">
        <v>66</v>
      </c>
      <c r="B146" s="6" t="s">
        <v>263</v>
      </c>
      <c r="C146" s="73" t="s">
        <v>336</v>
      </c>
      <c r="D146">
        <f t="shared" si="2"/>
        <v>1050</v>
      </c>
      <c r="E146" s="9">
        <v>1100</v>
      </c>
      <c r="F146" s="9">
        <v>1058</v>
      </c>
      <c r="G146" s="9">
        <v>992</v>
      </c>
      <c r="I146" t="s">
        <v>601</v>
      </c>
      <c r="J146" s="9" t="s">
        <v>314</v>
      </c>
      <c r="K146" t="s">
        <v>469</v>
      </c>
    </row>
    <row r="147" spans="1:11" x14ac:dyDescent="0.2">
      <c r="A147" s="9" t="s">
        <v>66</v>
      </c>
      <c r="B147" s="6" t="s">
        <v>263</v>
      </c>
      <c r="C147" s="73" t="s">
        <v>337</v>
      </c>
      <c r="D147">
        <f t="shared" si="2"/>
        <v>1519</v>
      </c>
      <c r="E147" s="9">
        <v>1439</v>
      </c>
      <c r="F147" s="9">
        <v>1599</v>
      </c>
      <c r="I147" t="s">
        <v>601</v>
      </c>
      <c r="J147" s="9" t="s">
        <v>314</v>
      </c>
    </row>
    <row r="148" spans="1:11" x14ac:dyDescent="0.2">
      <c r="A148" s="9" t="s">
        <v>66</v>
      </c>
      <c r="B148" s="6" t="s">
        <v>263</v>
      </c>
      <c r="C148" s="73" t="s">
        <v>338</v>
      </c>
      <c r="D148">
        <f t="shared" si="2"/>
        <v>1062.3333333333333</v>
      </c>
      <c r="E148" s="9">
        <v>989</v>
      </c>
      <c r="F148" s="9">
        <v>1099</v>
      </c>
      <c r="G148" s="9">
        <v>1099</v>
      </c>
      <c r="I148" t="s">
        <v>601</v>
      </c>
      <c r="J148" s="9" t="s">
        <v>314</v>
      </c>
      <c r="K148" t="s">
        <v>469</v>
      </c>
    </row>
    <row r="149" spans="1:11" x14ac:dyDescent="0.2">
      <c r="A149" s="9" t="s">
        <v>66</v>
      </c>
      <c r="B149" s="6" t="s">
        <v>263</v>
      </c>
      <c r="C149" s="73" t="s">
        <v>339</v>
      </c>
      <c r="D149">
        <f t="shared" si="2"/>
        <v>1199</v>
      </c>
      <c r="F149" s="9">
        <v>1199</v>
      </c>
      <c r="G149" s="9">
        <v>1199</v>
      </c>
      <c r="J149" s="9" t="s">
        <v>314</v>
      </c>
      <c r="K149" t="s">
        <v>469</v>
      </c>
    </row>
    <row r="150" spans="1:11" x14ac:dyDescent="0.2">
      <c r="A150" s="9" t="s">
        <v>66</v>
      </c>
      <c r="B150" s="6" t="s">
        <v>171</v>
      </c>
      <c r="C150" s="73" t="s">
        <v>340</v>
      </c>
      <c r="D150">
        <f t="shared" si="2"/>
        <v>590</v>
      </c>
      <c r="E150" s="9">
        <v>650</v>
      </c>
      <c r="F150" s="9">
        <v>471</v>
      </c>
      <c r="G150" s="9">
        <v>649</v>
      </c>
      <c r="I150" t="s">
        <v>598</v>
      </c>
      <c r="J150" t="s">
        <v>341</v>
      </c>
      <c r="K150" t="s">
        <v>456</v>
      </c>
    </row>
    <row r="151" spans="1:11" x14ac:dyDescent="0.2">
      <c r="A151" s="9" t="s">
        <v>66</v>
      </c>
      <c r="B151" s="6" t="s">
        <v>171</v>
      </c>
      <c r="C151" s="73" t="s">
        <v>342</v>
      </c>
      <c r="D151">
        <f t="shared" si="2"/>
        <v>709.66666666666663</v>
      </c>
      <c r="E151" s="9">
        <v>719</v>
      </c>
      <c r="F151" s="9">
        <v>611</v>
      </c>
      <c r="G151" s="9">
        <v>799</v>
      </c>
      <c r="I151" t="s">
        <v>598</v>
      </c>
      <c r="J151" s="9" t="s">
        <v>341</v>
      </c>
      <c r="K151" t="s">
        <v>456</v>
      </c>
    </row>
    <row r="152" spans="1:11" x14ac:dyDescent="0.2">
      <c r="A152" s="9" t="s">
        <v>66</v>
      </c>
      <c r="B152" s="6" t="s">
        <v>171</v>
      </c>
      <c r="C152" s="73" t="s">
        <v>343</v>
      </c>
      <c r="D152">
        <f t="shared" si="2"/>
        <v>989</v>
      </c>
      <c r="F152" s="9">
        <v>989</v>
      </c>
      <c r="J152" s="9" t="s">
        <v>341</v>
      </c>
    </row>
    <row r="153" spans="1:11" x14ac:dyDescent="0.2">
      <c r="A153" s="9" t="s">
        <v>66</v>
      </c>
      <c r="B153" s="6" t="s">
        <v>171</v>
      </c>
      <c r="C153" s="73" t="s">
        <v>344</v>
      </c>
      <c r="D153">
        <f t="shared" si="2"/>
        <v>839.33333333333337</v>
      </c>
      <c r="E153" s="9">
        <v>900</v>
      </c>
      <c r="F153" s="9">
        <v>719</v>
      </c>
      <c r="G153" s="9">
        <v>899</v>
      </c>
      <c r="I153" t="s">
        <v>598</v>
      </c>
      <c r="J153" s="9" t="s">
        <v>341</v>
      </c>
      <c r="K153" t="s">
        <v>456</v>
      </c>
    </row>
    <row r="154" spans="1:11" x14ac:dyDescent="0.2">
      <c r="A154" s="9" t="s">
        <v>66</v>
      </c>
      <c r="B154" s="6" t="s">
        <v>171</v>
      </c>
      <c r="C154" s="73" t="s">
        <v>345</v>
      </c>
      <c r="D154">
        <f t="shared" si="2"/>
        <v>792.33333333333337</v>
      </c>
      <c r="E154" s="9">
        <v>764</v>
      </c>
      <c r="F154" s="9">
        <v>764</v>
      </c>
      <c r="G154" s="9">
        <v>849</v>
      </c>
      <c r="I154" t="s">
        <v>598</v>
      </c>
      <c r="J154" s="9" t="s">
        <v>341</v>
      </c>
      <c r="K154" t="s">
        <v>456</v>
      </c>
    </row>
    <row r="155" spans="1:11" x14ac:dyDescent="0.2">
      <c r="A155" s="9" t="s">
        <v>66</v>
      </c>
      <c r="B155" s="6" t="s">
        <v>171</v>
      </c>
      <c r="C155" s="73" t="s">
        <v>346</v>
      </c>
      <c r="D155">
        <f t="shared" si="2"/>
        <v>1199.3333333333333</v>
      </c>
      <c r="E155" s="9">
        <v>1200</v>
      </c>
      <c r="F155" s="9">
        <v>1199</v>
      </c>
      <c r="G155" s="9">
        <v>1199</v>
      </c>
      <c r="I155" t="s">
        <v>611</v>
      </c>
      <c r="J155" s="9" t="s">
        <v>341</v>
      </c>
      <c r="K155" t="s">
        <v>456</v>
      </c>
    </row>
    <row r="156" spans="1:11" x14ac:dyDescent="0.2">
      <c r="A156" s="9" t="s">
        <v>66</v>
      </c>
      <c r="B156" s="6" t="s">
        <v>171</v>
      </c>
      <c r="C156" s="73" t="s">
        <v>347</v>
      </c>
      <c r="D156">
        <f t="shared" si="2"/>
        <v>1139</v>
      </c>
      <c r="E156" s="9">
        <v>1079</v>
      </c>
      <c r="F156" s="9">
        <v>1199</v>
      </c>
      <c r="I156" t="s">
        <v>601</v>
      </c>
      <c r="J156" s="9" t="s">
        <v>341</v>
      </c>
    </row>
    <row r="157" spans="1:11" x14ac:dyDescent="0.2">
      <c r="A157" s="9" t="s">
        <v>66</v>
      </c>
      <c r="B157" s="6" t="s">
        <v>171</v>
      </c>
      <c r="C157" s="73" t="s">
        <v>348</v>
      </c>
      <c r="D157">
        <f t="shared" si="2"/>
        <v>899</v>
      </c>
      <c r="E157" s="9">
        <v>899</v>
      </c>
      <c r="F157" s="9">
        <v>899</v>
      </c>
      <c r="I157" t="s">
        <v>598</v>
      </c>
      <c r="J157" s="9" t="s">
        <v>341</v>
      </c>
    </row>
    <row r="158" spans="1:11" x14ac:dyDescent="0.2">
      <c r="A158" s="9" t="s">
        <v>66</v>
      </c>
      <c r="B158" s="6" t="s">
        <v>171</v>
      </c>
      <c r="C158" s="73" t="s">
        <v>349</v>
      </c>
      <c r="D158">
        <f t="shared" si="2"/>
        <v>679</v>
      </c>
      <c r="F158" s="9">
        <v>679</v>
      </c>
      <c r="G158" s="9">
        <v>679</v>
      </c>
      <c r="J158" s="9" t="s">
        <v>341</v>
      </c>
      <c r="K158" t="s">
        <v>456</v>
      </c>
    </row>
    <row r="159" spans="1:11" x14ac:dyDescent="0.2">
      <c r="A159" s="9" t="s">
        <v>66</v>
      </c>
      <c r="B159" s="6" t="s">
        <v>171</v>
      </c>
      <c r="C159" s="73" t="s">
        <v>350</v>
      </c>
      <c r="D159">
        <f t="shared" si="2"/>
        <v>1214</v>
      </c>
      <c r="E159" s="9">
        <v>1214</v>
      </c>
      <c r="F159" s="9">
        <v>1214</v>
      </c>
      <c r="I159" t="s">
        <v>611</v>
      </c>
      <c r="J159" s="9" t="s">
        <v>341</v>
      </c>
    </row>
    <row r="160" spans="1:11" x14ac:dyDescent="0.2">
      <c r="A160" s="9" t="s">
        <v>66</v>
      </c>
      <c r="B160" s="6" t="s">
        <v>171</v>
      </c>
      <c r="C160" s="73" t="s">
        <v>351</v>
      </c>
      <c r="D160">
        <f t="shared" si="2"/>
        <v>809</v>
      </c>
      <c r="F160" s="9">
        <v>809</v>
      </c>
      <c r="J160" s="9" t="s">
        <v>341</v>
      </c>
    </row>
    <row r="161" spans="1:11" x14ac:dyDescent="0.2">
      <c r="A161" s="9" t="s">
        <v>66</v>
      </c>
      <c r="B161" s="6" t="s">
        <v>171</v>
      </c>
      <c r="C161" s="73" t="s">
        <v>352</v>
      </c>
      <c r="D161">
        <f t="shared" si="2"/>
        <v>954.5</v>
      </c>
      <c r="E161" s="9">
        <v>1100</v>
      </c>
      <c r="F161" s="9">
        <v>809</v>
      </c>
      <c r="I161" t="s">
        <v>601</v>
      </c>
      <c r="J161" s="9" t="s">
        <v>341</v>
      </c>
    </row>
    <row r="162" spans="1:11" x14ac:dyDescent="0.2">
      <c r="A162" s="9" t="s">
        <v>66</v>
      </c>
      <c r="B162" s="6" t="s">
        <v>171</v>
      </c>
      <c r="C162" s="73" t="s">
        <v>353</v>
      </c>
      <c r="D162">
        <f t="shared" si="2"/>
        <v>1025.6666666666667</v>
      </c>
      <c r="E162" s="9">
        <v>989</v>
      </c>
      <c r="F162" s="9">
        <v>989</v>
      </c>
      <c r="G162" s="9">
        <v>1099</v>
      </c>
      <c r="I162" t="s">
        <v>598</v>
      </c>
      <c r="J162" s="9" t="s">
        <v>341</v>
      </c>
      <c r="K162" t="s">
        <v>456</v>
      </c>
    </row>
    <row r="163" spans="1:11" x14ac:dyDescent="0.2">
      <c r="A163" s="9" t="s">
        <v>66</v>
      </c>
      <c r="B163" s="6" t="s">
        <v>171</v>
      </c>
      <c r="C163" s="73" t="s">
        <v>354</v>
      </c>
      <c r="D163">
        <f t="shared" si="2"/>
        <v>699</v>
      </c>
      <c r="E163" s="9">
        <v>674</v>
      </c>
      <c r="F163" s="9">
        <v>674</v>
      </c>
      <c r="G163" s="9">
        <v>749</v>
      </c>
      <c r="I163" t="s">
        <v>598</v>
      </c>
      <c r="J163" s="9" t="s">
        <v>341</v>
      </c>
      <c r="K163" t="s">
        <v>456</v>
      </c>
    </row>
    <row r="164" spans="1:11" x14ac:dyDescent="0.2">
      <c r="A164" s="9" t="s">
        <v>66</v>
      </c>
      <c r="B164" s="6" t="s">
        <v>171</v>
      </c>
      <c r="C164" s="73" t="s">
        <v>355</v>
      </c>
      <c r="D164">
        <f t="shared" si="2"/>
        <v>1079</v>
      </c>
      <c r="F164" s="9">
        <v>1079</v>
      </c>
      <c r="J164" s="9" t="s">
        <v>341</v>
      </c>
    </row>
    <row r="165" spans="1:11" x14ac:dyDescent="0.2">
      <c r="A165" s="9" t="s">
        <v>66</v>
      </c>
      <c r="B165" s="6" t="s">
        <v>171</v>
      </c>
      <c r="C165" s="73" t="s">
        <v>356</v>
      </c>
      <c r="D165">
        <f t="shared" si="2"/>
        <v>719</v>
      </c>
      <c r="F165" s="9">
        <v>719</v>
      </c>
      <c r="J165" s="9" t="s">
        <v>341</v>
      </c>
    </row>
    <row r="166" spans="1:11" x14ac:dyDescent="0.2">
      <c r="A166" s="9" t="s">
        <v>66</v>
      </c>
      <c r="B166" s="6" t="s">
        <v>171</v>
      </c>
      <c r="C166" s="73" t="s">
        <v>357</v>
      </c>
      <c r="D166">
        <f t="shared" si="2"/>
        <v>1169</v>
      </c>
      <c r="F166" s="9">
        <v>1169</v>
      </c>
      <c r="J166" s="9" t="s">
        <v>341</v>
      </c>
    </row>
    <row r="167" spans="1:11" x14ac:dyDescent="0.2">
      <c r="A167" s="9" t="s">
        <v>66</v>
      </c>
      <c r="B167" s="6" t="s">
        <v>171</v>
      </c>
      <c r="C167" s="73" t="s">
        <v>358</v>
      </c>
      <c r="D167">
        <f t="shared" si="2"/>
        <v>1350.5</v>
      </c>
      <c r="E167" s="9">
        <v>1305</v>
      </c>
      <c r="F167" s="9">
        <v>1396</v>
      </c>
      <c r="I167" t="s">
        <v>601</v>
      </c>
      <c r="J167" s="9" t="s">
        <v>341</v>
      </c>
    </row>
    <row r="168" spans="1:11" x14ac:dyDescent="0.2">
      <c r="A168" s="9" t="s">
        <v>66</v>
      </c>
      <c r="B168" s="6" t="s">
        <v>171</v>
      </c>
      <c r="C168" s="73" t="s">
        <v>359</v>
      </c>
      <c r="D168">
        <f t="shared" si="2"/>
        <v>1349</v>
      </c>
      <c r="E168" s="9">
        <v>1349</v>
      </c>
      <c r="F168" s="9">
        <v>1349</v>
      </c>
      <c r="I168" t="s">
        <v>601</v>
      </c>
      <c r="J168" s="9" t="s">
        <v>341</v>
      </c>
    </row>
    <row r="169" spans="1:11" x14ac:dyDescent="0.2">
      <c r="A169" s="9" t="s">
        <v>66</v>
      </c>
      <c r="B169" s="6" t="s">
        <v>171</v>
      </c>
      <c r="C169" s="73" t="s">
        <v>360</v>
      </c>
      <c r="D169">
        <f t="shared" si="2"/>
        <v>1229</v>
      </c>
      <c r="E169" s="9">
        <v>1169</v>
      </c>
      <c r="F169" s="9">
        <v>1169</v>
      </c>
      <c r="G169" s="9">
        <v>1349</v>
      </c>
      <c r="I169" t="s">
        <v>598</v>
      </c>
      <c r="J169" s="9" t="s">
        <v>341</v>
      </c>
      <c r="K169" t="s">
        <v>456</v>
      </c>
    </row>
    <row r="170" spans="1:11" x14ac:dyDescent="0.2">
      <c r="A170" s="9" t="s">
        <v>66</v>
      </c>
      <c r="B170" s="6" t="s">
        <v>180</v>
      </c>
      <c r="C170" s="73" t="s">
        <v>361</v>
      </c>
      <c r="D170">
        <f t="shared" si="2"/>
        <v>874</v>
      </c>
      <c r="F170" s="9">
        <v>749</v>
      </c>
      <c r="G170" s="9">
        <v>999</v>
      </c>
      <c r="J170" t="s">
        <v>170</v>
      </c>
      <c r="K170" t="s">
        <v>465</v>
      </c>
    </row>
    <row r="171" spans="1:11" x14ac:dyDescent="0.2">
      <c r="A171" s="9" t="s">
        <v>66</v>
      </c>
      <c r="B171" s="6" t="s">
        <v>180</v>
      </c>
      <c r="C171" s="73" t="s">
        <v>362</v>
      </c>
      <c r="D171">
        <f t="shared" si="2"/>
        <v>792.33333333333337</v>
      </c>
      <c r="E171" s="9">
        <v>764</v>
      </c>
      <c r="F171" s="9">
        <v>764</v>
      </c>
      <c r="G171" s="9">
        <v>849</v>
      </c>
      <c r="I171" t="s">
        <v>598</v>
      </c>
      <c r="J171" s="9" t="s">
        <v>170</v>
      </c>
      <c r="K171" t="s">
        <v>465</v>
      </c>
    </row>
    <row r="172" spans="1:11" x14ac:dyDescent="0.2">
      <c r="A172" s="9" t="s">
        <v>66</v>
      </c>
      <c r="B172" s="6" t="s">
        <v>180</v>
      </c>
      <c r="C172" s="73" t="s">
        <v>363</v>
      </c>
      <c r="D172">
        <f t="shared" si="2"/>
        <v>989</v>
      </c>
      <c r="E172" s="9">
        <v>989</v>
      </c>
      <c r="F172" s="9">
        <v>989</v>
      </c>
      <c r="I172" t="s">
        <v>598</v>
      </c>
      <c r="J172" s="9" t="s">
        <v>170</v>
      </c>
    </row>
    <row r="173" spans="1:11" x14ac:dyDescent="0.2">
      <c r="A173" s="9" t="s">
        <v>66</v>
      </c>
      <c r="B173" s="6" t="s">
        <v>180</v>
      </c>
      <c r="C173" s="73" t="s">
        <v>364</v>
      </c>
      <c r="D173">
        <f t="shared" si="2"/>
        <v>839</v>
      </c>
      <c r="E173" s="9">
        <v>809</v>
      </c>
      <c r="F173" s="9">
        <v>809</v>
      </c>
      <c r="G173" s="9">
        <v>899</v>
      </c>
      <c r="I173" t="s">
        <v>598</v>
      </c>
      <c r="J173" s="9" t="s">
        <v>170</v>
      </c>
      <c r="K173" t="s">
        <v>465</v>
      </c>
    </row>
    <row r="174" spans="1:11" x14ac:dyDescent="0.2">
      <c r="A174" s="9" t="s">
        <v>66</v>
      </c>
      <c r="B174" s="6" t="s">
        <v>180</v>
      </c>
      <c r="C174" s="73" t="s">
        <v>365</v>
      </c>
      <c r="D174">
        <f t="shared" si="2"/>
        <v>1529</v>
      </c>
      <c r="F174" s="9">
        <v>1529</v>
      </c>
      <c r="J174" s="9" t="s">
        <v>170</v>
      </c>
    </row>
    <row r="175" spans="1:11" x14ac:dyDescent="0.2">
      <c r="A175" s="9" t="s">
        <v>66</v>
      </c>
      <c r="B175" s="6" t="s">
        <v>180</v>
      </c>
      <c r="C175" s="73" t="s">
        <v>366</v>
      </c>
      <c r="D175">
        <f t="shared" si="2"/>
        <v>1119</v>
      </c>
      <c r="E175" s="9">
        <v>1079</v>
      </c>
      <c r="F175" s="9">
        <v>1079</v>
      </c>
      <c r="G175" s="9">
        <v>1199</v>
      </c>
      <c r="I175" t="s">
        <v>598</v>
      </c>
      <c r="J175" s="9" t="s">
        <v>170</v>
      </c>
      <c r="K175" t="s">
        <v>465</v>
      </c>
    </row>
    <row r="176" spans="1:11" x14ac:dyDescent="0.2">
      <c r="A176" s="9" t="s">
        <v>66</v>
      </c>
      <c r="B176" s="6" t="s">
        <v>180</v>
      </c>
      <c r="C176" s="73" t="s">
        <v>367</v>
      </c>
      <c r="D176">
        <f t="shared" si="2"/>
        <v>1585.6666666666667</v>
      </c>
      <c r="E176" s="9">
        <v>1529</v>
      </c>
      <c r="F176" s="9">
        <v>1529</v>
      </c>
      <c r="G176" s="9">
        <v>1699</v>
      </c>
      <c r="I176" t="s">
        <v>598</v>
      </c>
      <c r="J176" s="9" t="s">
        <v>170</v>
      </c>
      <c r="K176" t="s">
        <v>465</v>
      </c>
    </row>
    <row r="177" spans="1:11" x14ac:dyDescent="0.2">
      <c r="A177" s="9" t="s">
        <v>66</v>
      </c>
      <c r="B177" s="6" t="s">
        <v>180</v>
      </c>
      <c r="C177" s="73" t="s">
        <v>368</v>
      </c>
      <c r="D177">
        <f t="shared" si="2"/>
        <v>1189.5</v>
      </c>
      <c r="E177" s="9">
        <v>1080</v>
      </c>
      <c r="F177" s="9">
        <v>1299</v>
      </c>
      <c r="I177" t="s">
        <v>598</v>
      </c>
      <c r="J177" s="9" t="s">
        <v>170</v>
      </c>
    </row>
    <row r="178" spans="1:11" x14ac:dyDescent="0.2">
      <c r="A178" s="9" t="s">
        <v>66</v>
      </c>
      <c r="B178" s="6" t="s">
        <v>180</v>
      </c>
      <c r="C178" s="73" t="s">
        <v>369</v>
      </c>
      <c r="D178">
        <f t="shared" si="2"/>
        <v>1095.6666666666667</v>
      </c>
      <c r="E178" s="9">
        <v>989</v>
      </c>
      <c r="F178" s="9">
        <v>1199</v>
      </c>
      <c r="G178" s="9">
        <v>1099</v>
      </c>
      <c r="I178" t="s">
        <v>598</v>
      </c>
      <c r="J178" s="9" t="s">
        <v>170</v>
      </c>
      <c r="K178" t="s">
        <v>465</v>
      </c>
    </row>
    <row r="179" spans="1:11" x14ac:dyDescent="0.2">
      <c r="A179" s="9" t="s">
        <v>66</v>
      </c>
      <c r="B179" s="6" t="s">
        <v>180</v>
      </c>
      <c r="C179" s="73" t="s">
        <v>370</v>
      </c>
      <c r="D179">
        <f t="shared" si="2"/>
        <v>944</v>
      </c>
      <c r="E179" s="9">
        <v>944</v>
      </c>
      <c r="F179" s="9">
        <v>944</v>
      </c>
      <c r="I179" t="s">
        <v>601</v>
      </c>
      <c r="J179" s="9" t="s">
        <v>170</v>
      </c>
    </row>
    <row r="180" spans="1:11" x14ac:dyDescent="0.2">
      <c r="A180" s="9" t="s">
        <v>66</v>
      </c>
      <c r="B180" s="6" t="s">
        <v>180</v>
      </c>
      <c r="C180" s="73" t="s">
        <v>371</v>
      </c>
      <c r="D180">
        <f t="shared" si="2"/>
        <v>1394</v>
      </c>
      <c r="E180" s="9">
        <v>1439</v>
      </c>
      <c r="F180" s="9">
        <v>1349</v>
      </c>
      <c r="I180" t="s">
        <v>601</v>
      </c>
      <c r="J180" s="9" t="s">
        <v>170</v>
      </c>
    </row>
    <row r="181" spans="1:11" x14ac:dyDescent="0.2">
      <c r="A181" s="9" t="s">
        <v>66</v>
      </c>
      <c r="B181" s="6" t="s">
        <v>180</v>
      </c>
      <c r="C181" s="73" t="s">
        <v>372</v>
      </c>
      <c r="D181">
        <f t="shared" si="2"/>
        <v>870.66666666666663</v>
      </c>
      <c r="E181" s="9">
        <v>854</v>
      </c>
      <c r="F181" s="9">
        <v>809</v>
      </c>
      <c r="G181" s="9">
        <v>949</v>
      </c>
      <c r="I181" t="s">
        <v>598</v>
      </c>
      <c r="J181" s="9" t="s">
        <v>170</v>
      </c>
      <c r="K181" t="s">
        <v>465</v>
      </c>
    </row>
    <row r="182" spans="1:11" x14ac:dyDescent="0.2">
      <c r="A182" s="9" t="s">
        <v>66</v>
      </c>
      <c r="B182" s="6" t="s">
        <v>180</v>
      </c>
      <c r="C182" s="73" t="s">
        <v>373</v>
      </c>
      <c r="D182">
        <f t="shared" si="2"/>
        <v>999</v>
      </c>
      <c r="F182" s="9">
        <v>999</v>
      </c>
      <c r="J182" s="9" t="s">
        <v>170</v>
      </c>
    </row>
    <row r="183" spans="1:11" x14ac:dyDescent="0.2">
      <c r="A183" s="9" t="s">
        <v>66</v>
      </c>
      <c r="B183" s="6" t="s">
        <v>180</v>
      </c>
      <c r="C183" s="73" t="s">
        <v>374</v>
      </c>
      <c r="D183">
        <f t="shared" si="2"/>
        <v>989</v>
      </c>
      <c r="F183" s="9">
        <v>989</v>
      </c>
      <c r="J183" s="9" t="s">
        <v>170</v>
      </c>
    </row>
    <row r="184" spans="1:11" x14ac:dyDescent="0.2">
      <c r="A184" s="9" t="s">
        <v>66</v>
      </c>
      <c r="B184" s="6" t="s">
        <v>180</v>
      </c>
      <c r="C184" s="73" t="s">
        <v>375</v>
      </c>
      <c r="D184">
        <f t="shared" si="2"/>
        <v>917.33333333333337</v>
      </c>
      <c r="E184" s="9">
        <v>835</v>
      </c>
      <c r="F184" s="9">
        <v>989</v>
      </c>
      <c r="G184" s="9">
        <v>928</v>
      </c>
      <c r="I184" t="s">
        <v>601</v>
      </c>
      <c r="J184" s="9" t="s">
        <v>170</v>
      </c>
      <c r="K184" t="s">
        <v>465</v>
      </c>
    </row>
    <row r="185" spans="1:11" x14ac:dyDescent="0.2">
      <c r="A185" s="9" t="s">
        <v>66</v>
      </c>
      <c r="B185" s="6" t="s">
        <v>180</v>
      </c>
      <c r="C185" s="73" t="s">
        <v>377</v>
      </c>
      <c r="D185">
        <f t="shared" si="2"/>
        <v>1007</v>
      </c>
      <c r="E185" s="9">
        <v>935</v>
      </c>
      <c r="F185" s="9">
        <v>1079</v>
      </c>
      <c r="I185" t="s">
        <v>598</v>
      </c>
      <c r="J185" t="s">
        <v>170</v>
      </c>
    </row>
    <row r="186" spans="1:11" x14ac:dyDescent="0.2">
      <c r="A186" s="9" t="s">
        <v>66</v>
      </c>
      <c r="B186" s="6" t="s">
        <v>181</v>
      </c>
      <c r="C186" s="73" t="s">
        <v>378</v>
      </c>
      <c r="D186">
        <f t="shared" si="2"/>
        <v>590.66666666666663</v>
      </c>
      <c r="E186" s="9">
        <v>584</v>
      </c>
      <c r="F186" s="9">
        <v>539</v>
      </c>
      <c r="G186" s="9">
        <v>649</v>
      </c>
      <c r="I186" t="s">
        <v>601</v>
      </c>
      <c r="J186" s="9" t="s">
        <v>170</v>
      </c>
      <c r="K186" t="s">
        <v>472</v>
      </c>
    </row>
    <row r="187" spans="1:11" x14ac:dyDescent="0.2">
      <c r="A187" s="9" t="s">
        <v>66</v>
      </c>
      <c r="B187" s="6" t="s">
        <v>181</v>
      </c>
      <c r="C187" s="73" t="s">
        <v>379</v>
      </c>
      <c r="D187">
        <f t="shared" si="2"/>
        <v>1062.3333333333333</v>
      </c>
      <c r="E187" s="9">
        <v>989</v>
      </c>
      <c r="F187" s="9">
        <v>1099</v>
      </c>
      <c r="G187" s="9">
        <v>1099</v>
      </c>
      <c r="I187" t="s">
        <v>601</v>
      </c>
      <c r="J187" s="9" t="s">
        <v>170</v>
      </c>
      <c r="K187" t="s">
        <v>472</v>
      </c>
    </row>
    <row r="188" spans="1:11" x14ac:dyDescent="0.2">
      <c r="A188" s="9" t="s">
        <v>66</v>
      </c>
      <c r="B188" s="6" t="s">
        <v>181</v>
      </c>
      <c r="C188" s="73" t="s">
        <v>380</v>
      </c>
      <c r="D188">
        <f t="shared" si="2"/>
        <v>999</v>
      </c>
      <c r="F188" s="9">
        <v>999</v>
      </c>
      <c r="G188" s="9">
        <v>999</v>
      </c>
      <c r="J188" s="9" t="s">
        <v>170</v>
      </c>
      <c r="K188" t="s">
        <v>472</v>
      </c>
    </row>
    <row r="189" spans="1:11" x14ac:dyDescent="0.2">
      <c r="A189" s="9" t="s">
        <v>66</v>
      </c>
      <c r="B189" s="6" t="s">
        <v>181</v>
      </c>
      <c r="C189" s="73" t="s">
        <v>381</v>
      </c>
      <c r="D189">
        <f t="shared" si="2"/>
        <v>869</v>
      </c>
      <c r="E189" s="9">
        <v>809</v>
      </c>
      <c r="F189" s="9">
        <v>899</v>
      </c>
      <c r="G189" s="9">
        <v>899</v>
      </c>
      <c r="I189" t="s">
        <v>598</v>
      </c>
      <c r="J189" s="9" t="s">
        <v>170</v>
      </c>
      <c r="K189" t="s">
        <v>472</v>
      </c>
    </row>
    <row r="190" spans="1:11" x14ac:dyDescent="0.2">
      <c r="A190" s="9" t="s">
        <v>66</v>
      </c>
      <c r="B190" s="6" t="s">
        <v>181</v>
      </c>
      <c r="C190" s="73" t="s">
        <v>382</v>
      </c>
      <c r="D190">
        <f t="shared" si="2"/>
        <v>820.66666666666663</v>
      </c>
      <c r="E190" s="9">
        <v>764</v>
      </c>
      <c r="F190" s="9">
        <v>849</v>
      </c>
      <c r="G190" s="9">
        <v>849</v>
      </c>
      <c r="I190" t="s">
        <v>601</v>
      </c>
      <c r="J190" s="9" t="s">
        <v>170</v>
      </c>
      <c r="K190" t="s">
        <v>472</v>
      </c>
    </row>
    <row r="191" spans="1:11" x14ac:dyDescent="0.2">
      <c r="A191" s="9" t="s">
        <v>66</v>
      </c>
      <c r="B191" s="6" t="s">
        <v>181</v>
      </c>
      <c r="C191" s="73" t="s">
        <v>383</v>
      </c>
      <c r="D191">
        <f t="shared" si="2"/>
        <v>724</v>
      </c>
      <c r="E191" s="9">
        <v>674</v>
      </c>
      <c r="F191" s="9">
        <v>749</v>
      </c>
      <c r="G191" s="9">
        <v>749</v>
      </c>
      <c r="I191" t="s">
        <v>601</v>
      </c>
      <c r="J191" s="9" t="s">
        <v>170</v>
      </c>
      <c r="K191" t="s">
        <v>472</v>
      </c>
    </row>
    <row r="192" spans="1:11" x14ac:dyDescent="0.2">
      <c r="A192" s="9" t="s">
        <v>66</v>
      </c>
      <c r="B192" s="6" t="s">
        <v>181</v>
      </c>
      <c r="C192" s="73" t="s">
        <v>384</v>
      </c>
      <c r="D192">
        <f t="shared" si="2"/>
        <v>631.66666666666663</v>
      </c>
      <c r="E192" s="9">
        <v>598</v>
      </c>
      <c r="F192" s="9">
        <v>699</v>
      </c>
      <c r="G192" s="9">
        <v>598</v>
      </c>
      <c r="I192" t="s">
        <v>598</v>
      </c>
      <c r="J192" s="9" t="s">
        <v>170</v>
      </c>
      <c r="K192" t="s">
        <v>472</v>
      </c>
    </row>
    <row r="193" spans="1:11" x14ac:dyDescent="0.2">
      <c r="A193" s="9" t="s">
        <v>66</v>
      </c>
      <c r="B193" s="6" t="s">
        <v>181</v>
      </c>
      <c r="C193" s="73" t="s">
        <v>385</v>
      </c>
      <c r="D193">
        <f t="shared" ref="D193:D265" si="3">IF(SUM(E193:H193)&gt;0,AVERAGE(E193:H193),"")</f>
        <v>1272.6666666666667</v>
      </c>
      <c r="E193" s="9">
        <v>1170</v>
      </c>
      <c r="F193" s="9">
        <v>1299</v>
      </c>
      <c r="G193" s="9">
        <v>1349</v>
      </c>
      <c r="I193" t="s">
        <v>601</v>
      </c>
      <c r="J193" s="9" t="s">
        <v>170</v>
      </c>
      <c r="K193" t="s">
        <v>472</v>
      </c>
    </row>
    <row r="194" spans="1:11" x14ac:dyDescent="0.2">
      <c r="A194" s="9" t="s">
        <v>66</v>
      </c>
      <c r="B194" s="6" t="s">
        <v>181</v>
      </c>
      <c r="C194" s="73" t="s">
        <v>386</v>
      </c>
      <c r="D194">
        <f t="shared" si="3"/>
        <v>1139</v>
      </c>
      <c r="E194" s="9">
        <v>1079</v>
      </c>
      <c r="F194" s="9">
        <v>1199</v>
      </c>
      <c r="I194" t="s">
        <v>611</v>
      </c>
      <c r="J194" s="9" t="s">
        <v>170</v>
      </c>
    </row>
    <row r="195" spans="1:11" x14ac:dyDescent="0.2">
      <c r="A195" s="9" t="s">
        <v>66</v>
      </c>
      <c r="B195" s="6" t="s">
        <v>181</v>
      </c>
      <c r="C195" s="73" t="s">
        <v>387</v>
      </c>
      <c r="D195">
        <f t="shared" si="3"/>
        <v>1139</v>
      </c>
      <c r="E195" s="9">
        <v>1079</v>
      </c>
      <c r="F195" s="9">
        <v>1199</v>
      </c>
      <c r="I195" t="s">
        <v>601</v>
      </c>
      <c r="J195" s="9" t="s">
        <v>170</v>
      </c>
    </row>
    <row r="196" spans="1:11" x14ac:dyDescent="0.2">
      <c r="A196" s="9" t="s">
        <v>66</v>
      </c>
      <c r="B196" s="6" t="s">
        <v>181</v>
      </c>
      <c r="C196" s="73" t="s">
        <v>388</v>
      </c>
      <c r="D196">
        <f t="shared" si="3"/>
        <v>1199.3333333333333</v>
      </c>
      <c r="E196" s="9">
        <v>1200</v>
      </c>
      <c r="F196" s="9">
        <v>1199</v>
      </c>
      <c r="G196" s="9">
        <v>1199</v>
      </c>
      <c r="I196" t="s">
        <v>601</v>
      </c>
      <c r="J196" s="9" t="s">
        <v>170</v>
      </c>
      <c r="K196" t="s">
        <v>472</v>
      </c>
    </row>
    <row r="197" spans="1:11" x14ac:dyDescent="0.2">
      <c r="A197" s="9" t="s">
        <v>66</v>
      </c>
      <c r="B197" s="6" t="s">
        <v>181</v>
      </c>
      <c r="C197" s="73" t="s">
        <v>389</v>
      </c>
      <c r="D197">
        <f t="shared" si="3"/>
        <v>1044</v>
      </c>
      <c r="E197" s="9">
        <v>989</v>
      </c>
      <c r="F197" s="9">
        <v>1099</v>
      </c>
      <c r="I197" t="s">
        <v>598</v>
      </c>
      <c r="J197" s="9" t="s">
        <v>170</v>
      </c>
    </row>
    <row r="198" spans="1:11" x14ac:dyDescent="0.2">
      <c r="A198" s="9" t="s">
        <v>654</v>
      </c>
      <c r="B198" s="6" t="s">
        <v>180</v>
      </c>
      <c r="C198" s="73" t="s">
        <v>390</v>
      </c>
      <c r="D198">
        <f t="shared" si="3"/>
        <v>724.33333333333337</v>
      </c>
      <c r="E198" s="9">
        <v>750</v>
      </c>
      <c r="F198" s="9">
        <v>674</v>
      </c>
      <c r="G198" s="9">
        <v>749</v>
      </c>
      <c r="I198" t="s">
        <v>584</v>
      </c>
      <c r="J198" t="s">
        <v>167</v>
      </c>
      <c r="K198" t="s">
        <v>440</v>
      </c>
    </row>
    <row r="199" spans="1:11" x14ac:dyDescent="0.2">
      <c r="A199" s="9" t="s">
        <v>654</v>
      </c>
      <c r="B199" s="6" t="s">
        <v>180</v>
      </c>
      <c r="C199" s="73" t="s">
        <v>391</v>
      </c>
      <c r="D199">
        <f t="shared" si="3"/>
        <v>772.66666666666663</v>
      </c>
      <c r="E199" s="9">
        <v>800</v>
      </c>
      <c r="F199" s="9">
        <v>719</v>
      </c>
      <c r="G199" s="9">
        <v>799</v>
      </c>
      <c r="I199" t="s">
        <v>588</v>
      </c>
      <c r="J199" t="s">
        <v>167</v>
      </c>
      <c r="K199" t="s">
        <v>440</v>
      </c>
    </row>
    <row r="200" spans="1:11" x14ac:dyDescent="0.2">
      <c r="A200" s="9" t="s">
        <v>654</v>
      </c>
      <c r="B200" s="6" t="s">
        <v>180</v>
      </c>
      <c r="C200" s="73" t="s">
        <v>392</v>
      </c>
      <c r="D200">
        <f t="shared" si="3"/>
        <v>789</v>
      </c>
      <c r="F200" s="9">
        <v>679</v>
      </c>
      <c r="G200" s="9">
        <v>899</v>
      </c>
      <c r="J200" s="9" t="s">
        <v>167</v>
      </c>
      <c r="K200" t="s">
        <v>440</v>
      </c>
    </row>
    <row r="201" spans="1:11" x14ac:dyDescent="0.2">
      <c r="A201" s="9" t="s">
        <v>654</v>
      </c>
      <c r="B201" s="6" t="s">
        <v>180</v>
      </c>
      <c r="C201" s="73" t="s">
        <v>393</v>
      </c>
      <c r="D201">
        <f t="shared" si="3"/>
        <v>745.66666666666663</v>
      </c>
      <c r="E201" s="9">
        <v>719</v>
      </c>
      <c r="F201" s="9">
        <v>719</v>
      </c>
      <c r="G201" s="9">
        <v>799</v>
      </c>
      <c r="I201" t="s">
        <v>593</v>
      </c>
      <c r="J201" s="9" t="s">
        <v>167</v>
      </c>
      <c r="K201" t="s">
        <v>440</v>
      </c>
    </row>
    <row r="202" spans="1:11" x14ac:dyDescent="0.2">
      <c r="A202" s="9" t="s">
        <v>654</v>
      </c>
      <c r="B202" s="6" t="s">
        <v>180</v>
      </c>
      <c r="C202" s="73" t="s">
        <v>394</v>
      </c>
      <c r="D202">
        <f t="shared" si="3"/>
        <v>962.66666666666663</v>
      </c>
      <c r="E202" s="9">
        <v>900</v>
      </c>
      <c r="F202" s="9">
        <v>989</v>
      </c>
      <c r="G202" s="9">
        <v>999</v>
      </c>
      <c r="I202" t="s">
        <v>591</v>
      </c>
      <c r="J202" s="9" t="s">
        <v>167</v>
      </c>
      <c r="K202" t="s">
        <v>440</v>
      </c>
    </row>
    <row r="203" spans="1:11" x14ac:dyDescent="0.2">
      <c r="A203" s="9" t="s">
        <v>654</v>
      </c>
      <c r="B203" s="6" t="s">
        <v>180</v>
      </c>
      <c r="C203" s="73" t="s">
        <v>395</v>
      </c>
      <c r="D203">
        <f t="shared" si="3"/>
        <v>1094</v>
      </c>
      <c r="E203" s="9">
        <v>989</v>
      </c>
      <c r="F203" s="9">
        <v>1199</v>
      </c>
      <c r="I203" t="s">
        <v>589</v>
      </c>
      <c r="J203" s="9" t="s">
        <v>167</v>
      </c>
    </row>
    <row r="204" spans="1:11" x14ac:dyDescent="0.2">
      <c r="A204" s="9" t="s">
        <v>654</v>
      </c>
      <c r="B204" s="6" t="s">
        <v>180</v>
      </c>
      <c r="C204" s="73" t="s">
        <v>396</v>
      </c>
      <c r="D204">
        <f t="shared" si="3"/>
        <v>885.66666666666663</v>
      </c>
      <c r="E204" s="9">
        <v>854</v>
      </c>
      <c r="F204" s="9">
        <v>854</v>
      </c>
      <c r="G204" s="9">
        <v>949</v>
      </c>
      <c r="I204" t="s">
        <v>590</v>
      </c>
      <c r="J204" s="9" t="s">
        <v>167</v>
      </c>
      <c r="K204" t="s">
        <v>440</v>
      </c>
    </row>
    <row r="205" spans="1:11" x14ac:dyDescent="0.2">
      <c r="A205" s="9" t="s">
        <v>654</v>
      </c>
      <c r="B205" s="6" t="s">
        <v>180</v>
      </c>
      <c r="C205" s="73" t="s">
        <v>397</v>
      </c>
      <c r="D205">
        <f t="shared" si="3"/>
        <v>989</v>
      </c>
      <c r="E205" s="9">
        <v>989</v>
      </c>
      <c r="F205" s="9">
        <v>989</v>
      </c>
      <c r="I205" t="s">
        <v>582</v>
      </c>
      <c r="J205" s="9" t="s">
        <v>167</v>
      </c>
    </row>
    <row r="206" spans="1:11" x14ac:dyDescent="0.2">
      <c r="A206" s="9" t="s">
        <v>654</v>
      </c>
      <c r="B206" s="6" t="s">
        <v>180</v>
      </c>
      <c r="C206" s="73" t="s">
        <v>398</v>
      </c>
      <c r="D206">
        <f t="shared" si="3"/>
        <v>1492.3333333333333</v>
      </c>
      <c r="E206" s="9">
        <v>1439</v>
      </c>
      <c r="F206" s="9">
        <v>1439</v>
      </c>
      <c r="G206" s="9">
        <v>1599</v>
      </c>
      <c r="I206" t="s">
        <v>581</v>
      </c>
      <c r="J206" s="9" t="s">
        <v>167</v>
      </c>
      <c r="K206" t="s">
        <v>440</v>
      </c>
    </row>
    <row r="207" spans="1:11" x14ac:dyDescent="0.2">
      <c r="A207" s="9" t="s">
        <v>654</v>
      </c>
      <c r="B207" s="6" t="s">
        <v>180</v>
      </c>
      <c r="C207" s="73" t="s">
        <v>399</v>
      </c>
      <c r="D207">
        <f t="shared" si="3"/>
        <v>1546</v>
      </c>
      <c r="E207" s="9">
        <v>1600</v>
      </c>
      <c r="F207" s="9">
        <v>1439</v>
      </c>
      <c r="G207" s="9">
        <v>1599</v>
      </c>
      <c r="I207" t="s">
        <v>586</v>
      </c>
      <c r="J207" s="9" t="s">
        <v>167</v>
      </c>
      <c r="K207" t="s">
        <v>440</v>
      </c>
    </row>
    <row r="208" spans="1:11" x14ac:dyDescent="0.2">
      <c r="A208" s="9" t="s">
        <v>623</v>
      </c>
      <c r="B208" s="6" t="s">
        <v>180</v>
      </c>
      <c r="C208" s="73" t="s">
        <v>400</v>
      </c>
      <c r="D208">
        <f t="shared" si="3"/>
        <v>949</v>
      </c>
      <c r="F208" s="9">
        <v>899</v>
      </c>
      <c r="G208" s="9">
        <v>999</v>
      </c>
      <c r="J208" s="9" t="s">
        <v>167</v>
      </c>
      <c r="K208" t="s">
        <v>441</v>
      </c>
    </row>
    <row r="209" spans="1:11" s="9" customFormat="1" x14ac:dyDescent="0.2">
      <c r="A209" s="9" t="s">
        <v>624</v>
      </c>
      <c r="B209" s="6" t="s">
        <v>180</v>
      </c>
      <c r="C209" s="73" t="s">
        <v>400</v>
      </c>
      <c r="D209" s="9">
        <f t="shared" ref="D209" si="4">IF(SUM(E209:H209)&gt;0,AVERAGE(E209:H209),"")</f>
        <v>949</v>
      </c>
      <c r="F209" s="9">
        <v>899</v>
      </c>
      <c r="G209" s="9">
        <v>999</v>
      </c>
      <c r="J209" s="9" t="s">
        <v>167</v>
      </c>
      <c r="K209" s="9" t="s">
        <v>441</v>
      </c>
    </row>
    <row r="210" spans="1:11" x14ac:dyDescent="0.2">
      <c r="A210" s="9" t="s">
        <v>654</v>
      </c>
      <c r="B210" s="6" t="s">
        <v>180</v>
      </c>
      <c r="C210" s="73" t="s">
        <v>401</v>
      </c>
      <c r="D210">
        <f t="shared" si="3"/>
        <v>899</v>
      </c>
      <c r="F210" s="9">
        <v>899</v>
      </c>
      <c r="J210" s="9" t="s">
        <v>167</v>
      </c>
    </row>
    <row r="211" spans="1:11" x14ac:dyDescent="0.2">
      <c r="A211" s="9" t="s">
        <v>654</v>
      </c>
      <c r="B211" s="6" t="s">
        <v>180</v>
      </c>
      <c r="C211" s="73" t="s">
        <v>402</v>
      </c>
      <c r="D211">
        <f t="shared" si="3"/>
        <v>741.5</v>
      </c>
      <c r="E211" s="9">
        <v>764</v>
      </c>
      <c r="F211" s="9">
        <v>719</v>
      </c>
      <c r="I211" t="s">
        <v>583</v>
      </c>
      <c r="J211" s="9" t="s">
        <v>167</v>
      </c>
    </row>
    <row r="212" spans="1:11" x14ac:dyDescent="0.2">
      <c r="A212" s="9" t="s">
        <v>654</v>
      </c>
      <c r="B212" s="6" t="s">
        <v>180</v>
      </c>
      <c r="C212" s="73" t="s">
        <v>403</v>
      </c>
      <c r="D212">
        <f t="shared" si="3"/>
        <v>859.5</v>
      </c>
      <c r="E212" s="9">
        <v>820</v>
      </c>
      <c r="F212" s="9">
        <v>899</v>
      </c>
      <c r="I212" t="s">
        <v>587</v>
      </c>
      <c r="J212" s="9" t="s">
        <v>167</v>
      </c>
    </row>
    <row r="213" spans="1:11" x14ac:dyDescent="0.2">
      <c r="A213" s="9" t="s">
        <v>654</v>
      </c>
      <c r="B213" s="6" t="s">
        <v>180</v>
      </c>
      <c r="C213" s="73" t="s">
        <v>404</v>
      </c>
      <c r="D213">
        <f t="shared" si="3"/>
        <v>989</v>
      </c>
      <c r="E213" s="9">
        <v>1050</v>
      </c>
      <c r="F213" s="9">
        <v>989</v>
      </c>
      <c r="G213" s="9">
        <v>928</v>
      </c>
      <c r="I213" t="s">
        <v>585</v>
      </c>
      <c r="J213" s="9" t="s">
        <v>167</v>
      </c>
      <c r="K213" t="s">
        <v>440</v>
      </c>
    </row>
    <row r="214" spans="1:11" x14ac:dyDescent="0.2">
      <c r="A214" s="9" t="s">
        <v>654</v>
      </c>
      <c r="B214" s="6" t="s">
        <v>180</v>
      </c>
      <c r="C214" s="73" t="s">
        <v>405</v>
      </c>
      <c r="D214">
        <f t="shared" si="3"/>
        <v>1304</v>
      </c>
      <c r="E214" s="9">
        <v>1349</v>
      </c>
      <c r="F214" s="9">
        <v>1259</v>
      </c>
      <c r="I214" t="s">
        <v>592</v>
      </c>
      <c r="J214" s="9" t="s">
        <v>167</v>
      </c>
    </row>
    <row r="215" spans="1:11" x14ac:dyDescent="0.2">
      <c r="A215" s="9" t="s">
        <v>654</v>
      </c>
      <c r="B215" s="6" t="s">
        <v>180</v>
      </c>
      <c r="C215" s="73" t="s">
        <v>406</v>
      </c>
      <c r="D215">
        <f t="shared" si="3"/>
        <v>899</v>
      </c>
      <c r="F215" s="9">
        <v>899</v>
      </c>
      <c r="J215" s="9" t="s">
        <v>167</v>
      </c>
    </row>
    <row r="216" spans="1:11" x14ac:dyDescent="0.2">
      <c r="A216" s="9" t="s">
        <v>654</v>
      </c>
      <c r="B216" s="6" t="s">
        <v>181</v>
      </c>
      <c r="C216" s="73" t="s">
        <v>407</v>
      </c>
      <c r="D216">
        <f t="shared" si="3"/>
        <v>497.33333333333331</v>
      </c>
      <c r="E216" s="9">
        <v>494</v>
      </c>
      <c r="F216" s="9">
        <v>449</v>
      </c>
      <c r="G216" s="9">
        <v>549</v>
      </c>
      <c r="I216" t="s">
        <v>567</v>
      </c>
      <c r="J216" t="s">
        <v>408</v>
      </c>
      <c r="K216" t="s">
        <v>447</v>
      </c>
    </row>
    <row r="217" spans="1:11" x14ac:dyDescent="0.2">
      <c r="A217" s="9" t="s">
        <v>654</v>
      </c>
      <c r="B217" s="6" t="s">
        <v>181</v>
      </c>
      <c r="C217" s="73" t="s">
        <v>409</v>
      </c>
      <c r="D217">
        <f t="shared" si="3"/>
        <v>869</v>
      </c>
      <c r="E217" s="9">
        <v>809</v>
      </c>
      <c r="F217" s="9">
        <v>899</v>
      </c>
      <c r="G217" s="9">
        <v>899</v>
      </c>
      <c r="I217" t="s">
        <v>569</v>
      </c>
      <c r="J217" s="9" t="s">
        <v>408</v>
      </c>
      <c r="K217" t="s">
        <v>447</v>
      </c>
    </row>
    <row r="218" spans="1:11" x14ac:dyDescent="0.2">
      <c r="A218" s="9" t="s">
        <v>654</v>
      </c>
      <c r="B218" s="6" t="s">
        <v>181</v>
      </c>
      <c r="C218" s="73" t="s">
        <v>410</v>
      </c>
      <c r="D218">
        <f t="shared" si="3"/>
        <v>772.33333333333337</v>
      </c>
      <c r="E218" s="9">
        <v>719</v>
      </c>
      <c r="F218" s="9">
        <v>799</v>
      </c>
      <c r="G218" s="9">
        <v>799</v>
      </c>
      <c r="I218" t="s">
        <v>566</v>
      </c>
      <c r="J218" s="9" t="s">
        <v>408</v>
      </c>
      <c r="K218" t="s">
        <v>447</v>
      </c>
    </row>
    <row r="219" spans="1:11" x14ac:dyDescent="0.2">
      <c r="A219" s="9" t="s">
        <v>654</v>
      </c>
      <c r="B219" s="6" t="s">
        <v>181</v>
      </c>
      <c r="C219" s="73" t="s">
        <v>411</v>
      </c>
      <c r="D219">
        <f t="shared" si="3"/>
        <v>627.33333333333337</v>
      </c>
      <c r="E219" s="9">
        <v>584</v>
      </c>
      <c r="F219" s="9">
        <v>649</v>
      </c>
      <c r="G219" s="9">
        <v>649</v>
      </c>
      <c r="I219" t="s">
        <v>579</v>
      </c>
      <c r="J219" s="9" t="s">
        <v>408</v>
      </c>
      <c r="K219" t="s">
        <v>447</v>
      </c>
    </row>
    <row r="220" spans="1:11" x14ac:dyDescent="0.2">
      <c r="A220" s="9" t="s">
        <v>654</v>
      </c>
      <c r="B220" s="6" t="s">
        <v>181</v>
      </c>
      <c r="C220" s="73" t="s">
        <v>412</v>
      </c>
      <c r="D220">
        <f t="shared" si="3"/>
        <v>799</v>
      </c>
      <c r="F220" s="9">
        <v>849</v>
      </c>
      <c r="G220" s="9">
        <v>749</v>
      </c>
      <c r="J220" s="9" t="s">
        <v>408</v>
      </c>
      <c r="K220" t="s">
        <v>447</v>
      </c>
    </row>
    <row r="221" spans="1:11" x14ac:dyDescent="0.2">
      <c r="A221" s="9" t="s">
        <v>654</v>
      </c>
      <c r="B221" s="6" t="s">
        <v>181</v>
      </c>
      <c r="C221" s="73" t="s">
        <v>413</v>
      </c>
      <c r="D221">
        <f t="shared" si="3"/>
        <v>1062.3333333333333</v>
      </c>
      <c r="E221" s="9">
        <v>989</v>
      </c>
      <c r="F221" s="9">
        <v>1099</v>
      </c>
      <c r="G221" s="9">
        <v>1099</v>
      </c>
      <c r="I221" t="s">
        <v>573</v>
      </c>
      <c r="J221" s="9" t="s">
        <v>408</v>
      </c>
      <c r="K221" t="s">
        <v>447</v>
      </c>
    </row>
    <row r="222" spans="1:11" x14ac:dyDescent="0.2">
      <c r="A222" s="9" t="s">
        <v>654</v>
      </c>
      <c r="B222" s="6" t="s">
        <v>181</v>
      </c>
      <c r="C222" s="73" t="s">
        <v>414</v>
      </c>
      <c r="D222">
        <f t="shared" si="3"/>
        <v>1216</v>
      </c>
      <c r="E222" s="9">
        <v>1200</v>
      </c>
      <c r="F222" s="9">
        <v>1199</v>
      </c>
      <c r="G222" s="9">
        <v>1249</v>
      </c>
      <c r="I222" t="s">
        <v>576</v>
      </c>
      <c r="J222" s="9" t="s">
        <v>408</v>
      </c>
      <c r="K222" t="s">
        <v>447</v>
      </c>
    </row>
    <row r="223" spans="1:11" x14ac:dyDescent="0.2">
      <c r="A223" s="9" t="s">
        <v>654</v>
      </c>
      <c r="B223" s="6" t="s">
        <v>181</v>
      </c>
      <c r="C223" s="73" t="s">
        <v>415</v>
      </c>
      <c r="D223">
        <f t="shared" si="3"/>
        <v>711.5</v>
      </c>
      <c r="E223" s="9">
        <v>674</v>
      </c>
      <c r="F223" s="9">
        <v>749</v>
      </c>
      <c r="I223" t="s">
        <v>568</v>
      </c>
      <c r="J223" s="9" t="s">
        <v>408</v>
      </c>
    </row>
    <row r="224" spans="1:11" x14ac:dyDescent="0.2">
      <c r="A224" s="9" t="s">
        <v>654</v>
      </c>
      <c r="B224" s="6" t="s">
        <v>181</v>
      </c>
      <c r="C224" s="73" t="s">
        <v>416</v>
      </c>
      <c r="D224">
        <f t="shared" si="3"/>
        <v>1449</v>
      </c>
      <c r="F224" s="9">
        <v>1449</v>
      </c>
      <c r="G224" s="9">
        <v>1449</v>
      </c>
      <c r="J224" s="9" t="s">
        <v>408</v>
      </c>
      <c r="K224" t="s">
        <v>447</v>
      </c>
    </row>
    <row r="225" spans="1:11" x14ac:dyDescent="0.2">
      <c r="A225" s="9" t="s">
        <v>654</v>
      </c>
      <c r="B225" s="6" t="s">
        <v>181</v>
      </c>
      <c r="C225" s="73" t="s">
        <v>417</v>
      </c>
      <c r="D225">
        <f t="shared" si="3"/>
        <v>1044</v>
      </c>
      <c r="E225" s="9">
        <v>989</v>
      </c>
      <c r="F225" s="9">
        <v>1099</v>
      </c>
      <c r="I225" t="s">
        <v>574</v>
      </c>
      <c r="J225" s="9" t="s">
        <v>408</v>
      </c>
    </row>
    <row r="226" spans="1:11" x14ac:dyDescent="0.2">
      <c r="A226" s="9" t="s">
        <v>654</v>
      </c>
      <c r="B226" s="6" t="s">
        <v>181</v>
      </c>
      <c r="C226" s="73" t="s">
        <v>418</v>
      </c>
      <c r="D226">
        <f t="shared" si="3"/>
        <v>949</v>
      </c>
      <c r="E226" s="9">
        <v>899</v>
      </c>
      <c r="F226" s="9">
        <v>999</v>
      </c>
      <c r="I226" t="s">
        <v>575</v>
      </c>
      <c r="J226" s="9" t="s">
        <v>408</v>
      </c>
    </row>
    <row r="227" spans="1:11" x14ac:dyDescent="0.2">
      <c r="A227" s="9" t="s">
        <v>654</v>
      </c>
      <c r="B227" s="6" t="s">
        <v>181</v>
      </c>
      <c r="C227" s="73" t="s">
        <v>419</v>
      </c>
      <c r="D227">
        <f t="shared" si="3"/>
        <v>999</v>
      </c>
      <c r="F227" s="9">
        <v>999</v>
      </c>
      <c r="J227" s="9" t="s">
        <v>408</v>
      </c>
    </row>
    <row r="228" spans="1:11" x14ac:dyDescent="0.2">
      <c r="A228" s="9" t="s">
        <v>654</v>
      </c>
      <c r="B228" s="6" t="s">
        <v>181</v>
      </c>
      <c r="C228" s="73" t="s">
        <v>420</v>
      </c>
      <c r="D228">
        <f t="shared" si="3"/>
        <v>649</v>
      </c>
      <c r="F228" s="9">
        <v>649</v>
      </c>
      <c r="J228" s="9" t="s">
        <v>408</v>
      </c>
    </row>
    <row r="229" spans="1:11" x14ac:dyDescent="0.2">
      <c r="A229" s="9" t="s">
        <v>654</v>
      </c>
      <c r="B229" s="6" t="s">
        <v>174</v>
      </c>
      <c r="C229" s="73" t="s">
        <v>424</v>
      </c>
      <c r="D229" s="9">
        <f t="shared" si="3"/>
        <v>1299</v>
      </c>
      <c r="G229" s="9">
        <v>1299</v>
      </c>
      <c r="K229" t="s">
        <v>423</v>
      </c>
    </row>
    <row r="230" spans="1:11" x14ac:dyDescent="0.2">
      <c r="A230" s="9" t="s">
        <v>654</v>
      </c>
      <c r="B230" s="6" t="s">
        <v>174</v>
      </c>
      <c r="C230" s="73" t="s">
        <v>425</v>
      </c>
      <c r="D230" s="9">
        <f t="shared" si="3"/>
        <v>649</v>
      </c>
      <c r="G230" s="9">
        <v>649</v>
      </c>
      <c r="K230" t="s">
        <v>423</v>
      </c>
    </row>
    <row r="231" spans="1:11" x14ac:dyDescent="0.2">
      <c r="A231" s="9" t="s">
        <v>654</v>
      </c>
      <c r="B231" s="6" t="s">
        <v>174</v>
      </c>
      <c r="C231" s="73" t="s">
        <v>426</v>
      </c>
      <c r="D231" s="9">
        <f t="shared" si="3"/>
        <v>1099</v>
      </c>
      <c r="G231" s="9">
        <v>1099</v>
      </c>
      <c r="K231" t="s">
        <v>423</v>
      </c>
    </row>
    <row r="232" spans="1:11" x14ac:dyDescent="0.2">
      <c r="A232" s="9" t="s">
        <v>654</v>
      </c>
      <c r="B232" s="6" t="s">
        <v>174</v>
      </c>
      <c r="C232" s="73" t="s">
        <v>427</v>
      </c>
      <c r="D232" s="9">
        <f t="shared" si="3"/>
        <v>498</v>
      </c>
      <c r="G232" s="9">
        <v>498</v>
      </c>
      <c r="K232" s="9" t="s">
        <v>423</v>
      </c>
    </row>
    <row r="233" spans="1:11" x14ac:dyDescent="0.2">
      <c r="A233" s="9" t="s">
        <v>654</v>
      </c>
      <c r="B233" s="6" t="s">
        <v>174</v>
      </c>
      <c r="C233" s="73" t="s">
        <v>428</v>
      </c>
      <c r="D233" s="9">
        <f t="shared" si="3"/>
        <v>899.5</v>
      </c>
      <c r="E233" s="9">
        <v>900</v>
      </c>
      <c r="G233" s="9">
        <v>899</v>
      </c>
      <c r="I233" t="s">
        <v>542</v>
      </c>
      <c r="K233" t="s">
        <v>423</v>
      </c>
    </row>
    <row r="234" spans="1:11" x14ac:dyDescent="0.2">
      <c r="A234" s="9" t="s">
        <v>654</v>
      </c>
      <c r="B234" s="6" t="s">
        <v>174</v>
      </c>
      <c r="C234" s="73" t="s">
        <v>429</v>
      </c>
      <c r="D234">
        <f t="shared" si="3"/>
        <v>899</v>
      </c>
      <c r="G234" s="9">
        <v>899</v>
      </c>
      <c r="K234" t="s">
        <v>423</v>
      </c>
    </row>
    <row r="235" spans="1:11" x14ac:dyDescent="0.2">
      <c r="A235" s="9" t="s">
        <v>654</v>
      </c>
      <c r="B235" s="6" t="s">
        <v>174</v>
      </c>
      <c r="C235" s="73" t="s">
        <v>430</v>
      </c>
      <c r="D235">
        <f t="shared" si="3"/>
        <v>1199</v>
      </c>
      <c r="G235" s="9">
        <v>1199</v>
      </c>
      <c r="K235" t="s">
        <v>431</v>
      </c>
    </row>
    <row r="236" spans="1:11" x14ac:dyDescent="0.2">
      <c r="A236" s="9" t="s">
        <v>654</v>
      </c>
      <c r="B236" s="6" t="s">
        <v>171</v>
      </c>
      <c r="C236" s="73" t="s">
        <v>433</v>
      </c>
      <c r="D236">
        <f t="shared" si="3"/>
        <v>499</v>
      </c>
      <c r="E236" s="9">
        <v>500</v>
      </c>
      <c r="G236" s="9">
        <v>498</v>
      </c>
      <c r="I236" t="s">
        <v>492</v>
      </c>
      <c r="K236" t="s">
        <v>432</v>
      </c>
    </row>
    <row r="237" spans="1:11" x14ac:dyDescent="0.2">
      <c r="A237" s="9" t="s">
        <v>654</v>
      </c>
      <c r="B237" s="6" t="s">
        <v>171</v>
      </c>
      <c r="C237" s="73" t="s">
        <v>434</v>
      </c>
      <c r="D237">
        <f t="shared" si="3"/>
        <v>1164</v>
      </c>
      <c r="E237" s="9">
        <v>1079</v>
      </c>
      <c r="G237" s="9">
        <v>1249</v>
      </c>
      <c r="I237" t="s">
        <v>491</v>
      </c>
      <c r="K237" s="9" t="s">
        <v>432</v>
      </c>
    </row>
    <row r="238" spans="1:11" x14ac:dyDescent="0.2">
      <c r="A238" s="9" t="s">
        <v>654</v>
      </c>
      <c r="B238" s="6" t="s">
        <v>171</v>
      </c>
      <c r="C238" s="73" t="s">
        <v>435</v>
      </c>
      <c r="D238">
        <f t="shared" si="3"/>
        <v>799</v>
      </c>
      <c r="G238" s="9">
        <v>799</v>
      </c>
      <c r="K238" t="s">
        <v>432</v>
      </c>
    </row>
    <row r="239" spans="1:11" x14ac:dyDescent="0.2">
      <c r="A239" s="9" t="s">
        <v>654</v>
      </c>
      <c r="B239" s="6" t="s">
        <v>171</v>
      </c>
      <c r="C239" s="73" t="s">
        <v>436</v>
      </c>
      <c r="D239">
        <f t="shared" si="3"/>
        <v>949</v>
      </c>
      <c r="E239" s="9">
        <v>899</v>
      </c>
      <c r="G239" s="9">
        <v>999</v>
      </c>
      <c r="I239" t="s">
        <v>494</v>
      </c>
      <c r="K239" t="s">
        <v>432</v>
      </c>
    </row>
    <row r="240" spans="1:11" x14ac:dyDescent="0.2">
      <c r="A240" s="9" t="s">
        <v>654</v>
      </c>
      <c r="B240" s="6" t="s">
        <v>171</v>
      </c>
      <c r="C240" s="73" t="s">
        <v>437</v>
      </c>
      <c r="D240">
        <f t="shared" si="3"/>
        <v>1199</v>
      </c>
      <c r="G240" s="9">
        <v>1199</v>
      </c>
      <c r="K240" t="s">
        <v>432</v>
      </c>
    </row>
    <row r="241" spans="1:11" x14ac:dyDescent="0.2">
      <c r="A241" s="9" t="s">
        <v>654</v>
      </c>
      <c r="B241" s="6" t="s">
        <v>171</v>
      </c>
      <c r="C241" s="73" t="s">
        <v>438</v>
      </c>
      <c r="D241">
        <f t="shared" si="3"/>
        <v>649</v>
      </c>
      <c r="G241" s="9">
        <v>649</v>
      </c>
      <c r="K241" t="s">
        <v>432</v>
      </c>
    </row>
    <row r="242" spans="1:11" x14ac:dyDescent="0.2">
      <c r="A242" s="9" t="s">
        <v>654</v>
      </c>
      <c r="B242" s="6" t="s">
        <v>171</v>
      </c>
      <c r="C242" s="73" t="s">
        <v>439</v>
      </c>
      <c r="D242">
        <f t="shared" si="3"/>
        <v>648</v>
      </c>
      <c r="G242" s="9">
        <v>648</v>
      </c>
      <c r="K242" t="s">
        <v>440</v>
      </c>
    </row>
    <row r="243" spans="1:11" x14ac:dyDescent="0.2">
      <c r="A243" s="9" t="s">
        <v>654</v>
      </c>
      <c r="B243" s="6" t="s">
        <v>180</v>
      </c>
      <c r="C243" s="73" t="s">
        <v>442</v>
      </c>
      <c r="D243">
        <f t="shared" si="3"/>
        <v>699</v>
      </c>
      <c r="G243" s="9">
        <v>699</v>
      </c>
      <c r="K243" t="s">
        <v>440</v>
      </c>
    </row>
    <row r="244" spans="1:11" x14ac:dyDescent="0.2">
      <c r="A244" s="9" t="s">
        <v>654</v>
      </c>
      <c r="B244" s="6" t="s">
        <v>180</v>
      </c>
      <c r="C244" s="73" t="s">
        <v>443</v>
      </c>
      <c r="D244">
        <f t="shared" si="3"/>
        <v>1099</v>
      </c>
      <c r="G244" s="9">
        <v>1099</v>
      </c>
      <c r="K244" t="s">
        <v>440</v>
      </c>
    </row>
    <row r="245" spans="1:11" x14ac:dyDescent="0.2">
      <c r="A245" s="9" t="s">
        <v>654</v>
      </c>
      <c r="B245" s="6" t="s">
        <v>180</v>
      </c>
      <c r="C245" s="73" t="s">
        <v>444</v>
      </c>
      <c r="D245">
        <f t="shared" si="3"/>
        <v>999</v>
      </c>
      <c r="G245" s="9">
        <v>999</v>
      </c>
      <c r="K245" t="s">
        <v>440</v>
      </c>
    </row>
    <row r="246" spans="1:11" x14ac:dyDescent="0.2">
      <c r="A246" s="9" t="s">
        <v>654</v>
      </c>
      <c r="B246" s="6" t="s">
        <v>263</v>
      </c>
      <c r="C246" s="73" t="s">
        <v>446</v>
      </c>
      <c r="D246">
        <f t="shared" si="3"/>
        <v>1099</v>
      </c>
      <c r="G246" s="9">
        <v>1099</v>
      </c>
      <c r="K246" t="s">
        <v>445</v>
      </c>
    </row>
    <row r="247" spans="1:11" x14ac:dyDescent="0.2">
      <c r="A247" s="9" t="s">
        <v>654</v>
      </c>
      <c r="B247" s="6" t="s">
        <v>181</v>
      </c>
      <c r="C247" s="73" t="s">
        <v>448</v>
      </c>
      <c r="D247">
        <f t="shared" si="3"/>
        <v>498</v>
      </c>
      <c r="E247" s="9">
        <v>498</v>
      </c>
      <c r="G247" s="9">
        <v>498</v>
      </c>
      <c r="I247" t="s">
        <v>565</v>
      </c>
      <c r="K247" t="s">
        <v>447</v>
      </c>
    </row>
    <row r="248" spans="1:11" x14ac:dyDescent="0.2">
      <c r="A248" s="9" t="s">
        <v>66</v>
      </c>
      <c r="B248" s="6" t="s">
        <v>174</v>
      </c>
      <c r="C248" s="73" t="s">
        <v>450</v>
      </c>
      <c r="D248">
        <f t="shared" si="3"/>
        <v>1399</v>
      </c>
      <c r="G248" s="9">
        <v>1399</v>
      </c>
      <c r="K248" t="s">
        <v>449</v>
      </c>
    </row>
    <row r="249" spans="1:11" x14ac:dyDescent="0.2">
      <c r="A249" s="9" t="s">
        <v>66</v>
      </c>
      <c r="B249" s="6" t="s">
        <v>174</v>
      </c>
      <c r="C249" s="73" t="s">
        <v>451</v>
      </c>
      <c r="D249">
        <f t="shared" si="3"/>
        <v>999</v>
      </c>
      <c r="G249" s="9">
        <v>999</v>
      </c>
      <c r="K249" t="s">
        <v>449</v>
      </c>
    </row>
    <row r="250" spans="1:11" x14ac:dyDescent="0.2">
      <c r="A250" s="9" t="s">
        <v>66</v>
      </c>
      <c r="B250" s="6" t="s">
        <v>174</v>
      </c>
      <c r="C250" s="73" t="s">
        <v>452</v>
      </c>
      <c r="D250">
        <f t="shared" si="3"/>
        <v>749</v>
      </c>
      <c r="G250" s="9">
        <v>749</v>
      </c>
      <c r="K250" t="s">
        <v>449</v>
      </c>
    </row>
    <row r="251" spans="1:11" x14ac:dyDescent="0.2">
      <c r="A251" s="9" t="s">
        <v>66</v>
      </c>
      <c r="B251" s="6" t="s">
        <v>174</v>
      </c>
      <c r="C251" s="73" t="s">
        <v>453</v>
      </c>
      <c r="D251">
        <f t="shared" si="3"/>
        <v>1199</v>
      </c>
      <c r="G251" s="9">
        <v>1199</v>
      </c>
      <c r="K251" t="s">
        <v>449</v>
      </c>
    </row>
    <row r="252" spans="1:11" x14ac:dyDescent="0.2">
      <c r="A252" s="9" t="s">
        <v>66</v>
      </c>
      <c r="B252" s="6" t="s">
        <v>174</v>
      </c>
      <c r="C252" s="73" t="s">
        <v>454</v>
      </c>
      <c r="D252">
        <f t="shared" si="3"/>
        <v>999</v>
      </c>
      <c r="G252" s="9">
        <v>999</v>
      </c>
      <c r="K252" t="s">
        <v>449</v>
      </c>
    </row>
    <row r="253" spans="1:11" x14ac:dyDescent="0.2">
      <c r="A253" s="9" t="s">
        <v>66</v>
      </c>
      <c r="B253" s="6" t="s">
        <v>174</v>
      </c>
      <c r="C253" s="73" t="s">
        <v>455</v>
      </c>
      <c r="D253">
        <f t="shared" si="3"/>
        <v>999</v>
      </c>
      <c r="G253" s="9">
        <v>999</v>
      </c>
      <c r="K253" t="s">
        <v>449</v>
      </c>
    </row>
    <row r="254" spans="1:11" x14ac:dyDescent="0.2">
      <c r="A254" s="9" t="s">
        <v>66</v>
      </c>
      <c r="B254" s="6" t="s">
        <v>171</v>
      </c>
      <c r="C254" s="73" t="s">
        <v>457</v>
      </c>
      <c r="D254">
        <f t="shared" si="3"/>
        <v>599</v>
      </c>
      <c r="E254" s="9">
        <v>600</v>
      </c>
      <c r="G254" s="9">
        <v>598</v>
      </c>
      <c r="I254" t="s">
        <v>601</v>
      </c>
      <c r="K254" t="s">
        <v>456</v>
      </c>
    </row>
    <row r="255" spans="1:11" x14ac:dyDescent="0.2">
      <c r="A255" s="9" t="s">
        <v>66</v>
      </c>
      <c r="B255" s="6" t="s">
        <v>171</v>
      </c>
      <c r="C255" s="73" t="s">
        <v>458</v>
      </c>
      <c r="D255">
        <f t="shared" si="3"/>
        <v>1044</v>
      </c>
      <c r="E255" s="9">
        <v>989</v>
      </c>
      <c r="G255" s="9">
        <v>1099</v>
      </c>
      <c r="I255" t="s">
        <v>601</v>
      </c>
      <c r="K255" t="s">
        <v>456</v>
      </c>
    </row>
    <row r="256" spans="1:11" x14ac:dyDescent="0.2">
      <c r="A256" s="9" t="s">
        <v>66</v>
      </c>
      <c r="B256" s="6" t="s">
        <v>171</v>
      </c>
      <c r="C256" s="73" t="s">
        <v>459</v>
      </c>
      <c r="D256">
        <f t="shared" si="3"/>
        <v>849</v>
      </c>
      <c r="G256" s="9">
        <v>849</v>
      </c>
      <c r="K256" t="s">
        <v>456</v>
      </c>
    </row>
    <row r="257" spans="1:11" x14ac:dyDescent="0.2">
      <c r="A257" s="9" t="s">
        <v>66</v>
      </c>
      <c r="B257" s="6" t="s">
        <v>171</v>
      </c>
      <c r="C257" s="73" t="s">
        <v>460</v>
      </c>
      <c r="D257">
        <f t="shared" si="3"/>
        <v>699</v>
      </c>
      <c r="G257" s="9">
        <v>699</v>
      </c>
      <c r="K257" t="s">
        <v>456</v>
      </c>
    </row>
    <row r="258" spans="1:11" x14ac:dyDescent="0.2">
      <c r="A258" s="9" t="s">
        <v>66</v>
      </c>
      <c r="B258" s="6" t="s">
        <v>171</v>
      </c>
      <c r="C258" s="73" t="s">
        <v>461</v>
      </c>
      <c r="D258">
        <f t="shared" si="3"/>
        <v>1424</v>
      </c>
      <c r="E258" s="9">
        <v>1349</v>
      </c>
      <c r="G258" s="9">
        <v>1499</v>
      </c>
      <c r="I258" t="s">
        <v>601</v>
      </c>
      <c r="K258" t="s">
        <v>456</v>
      </c>
    </row>
    <row r="259" spans="1:11" x14ac:dyDescent="0.2">
      <c r="A259" s="9" t="s">
        <v>66</v>
      </c>
      <c r="B259" s="6" t="s">
        <v>171</v>
      </c>
      <c r="C259" s="73" t="s">
        <v>462</v>
      </c>
      <c r="D259">
        <f t="shared" si="3"/>
        <v>1699</v>
      </c>
      <c r="G259" s="9">
        <v>1699</v>
      </c>
      <c r="K259" t="s">
        <v>456</v>
      </c>
    </row>
    <row r="260" spans="1:11" x14ac:dyDescent="0.2">
      <c r="A260" s="9" t="s">
        <v>66</v>
      </c>
      <c r="B260" s="6" t="s">
        <v>171</v>
      </c>
      <c r="C260" s="73" t="s">
        <v>463</v>
      </c>
      <c r="D260">
        <f t="shared" si="3"/>
        <v>1299</v>
      </c>
      <c r="G260" s="9">
        <v>1299</v>
      </c>
      <c r="K260" t="s">
        <v>456</v>
      </c>
    </row>
    <row r="261" spans="1:11" x14ac:dyDescent="0.2">
      <c r="A261" s="9" t="s">
        <v>66</v>
      </c>
      <c r="B261" s="6" t="s">
        <v>180</v>
      </c>
      <c r="C261" s="73" t="s">
        <v>464</v>
      </c>
      <c r="D261">
        <f t="shared" si="3"/>
        <v>899.5</v>
      </c>
      <c r="E261" s="9">
        <v>900</v>
      </c>
      <c r="G261" s="9">
        <v>899</v>
      </c>
      <c r="I261" t="s">
        <v>598</v>
      </c>
      <c r="K261" t="s">
        <v>465</v>
      </c>
    </row>
    <row r="262" spans="1:11" x14ac:dyDescent="0.2">
      <c r="A262" s="9" t="s">
        <v>66</v>
      </c>
      <c r="B262" s="6" t="s">
        <v>180</v>
      </c>
      <c r="C262" s="73" t="s">
        <v>466</v>
      </c>
      <c r="D262">
        <f t="shared" si="3"/>
        <v>1099</v>
      </c>
      <c r="G262" s="9">
        <v>1099</v>
      </c>
      <c r="K262" t="s">
        <v>465</v>
      </c>
    </row>
    <row r="263" spans="1:11" x14ac:dyDescent="0.2">
      <c r="A263" s="9" t="s">
        <v>66</v>
      </c>
      <c r="B263" s="6" t="s">
        <v>180</v>
      </c>
      <c r="C263" s="73" t="s">
        <v>467</v>
      </c>
      <c r="D263">
        <f t="shared" si="3"/>
        <v>799</v>
      </c>
      <c r="G263" s="9">
        <v>799</v>
      </c>
      <c r="K263" t="s">
        <v>465</v>
      </c>
    </row>
    <row r="264" spans="1:11" x14ac:dyDescent="0.2">
      <c r="A264" s="9" t="s">
        <v>66</v>
      </c>
      <c r="B264" s="6" t="s">
        <v>263</v>
      </c>
      <c r="C264" s="73" t="s">
        <v>470</v>
      </c>
      <c r="D264">
        <f t="shared" si="3"/>
        <v>1199</v>
      </c>
      <c r="G264" s="9">
        <v>1199</v>
      </c>
      <c r="K264" t="s">
        <v>469</v>
      </c>
    </row>
    <row r="265" spans="1:11" x14ac:dyDescent="0.2">
      <c r="A265" s="9" t="s">
        <v>66</v>
      </c>
      <c r="B265" s="6" t="s">
        <v>263</v>
      </c>
      <c r="C265" s="73" t="s">
        <v>471</v>
      </c>
      <c r="D265">
        <f t="shared" si="3"/>
        <v>1299</v>
      </c>
      <c r="G265" s="9">
        <v>1299</v>
      </c>
      <c r="K265" t="s">
        <v>469</v>
      </c>
    </row>
    <row r="266" spans="1:11" x14ac:dyDescent="0.2">
      <c r="A266" s="9" t="s">
        <v>654</v>
      </c>
      <c r="B266" s="6" t="s">
        <v>177</v>
      </c>
      <c r="C266" s="73">
        <v>62102</v>
      </c>
      <c r="D266">
        <f>IF(SUM(E266:H266)&gt;0,AVERAGE(E266:H266),"")</f>
        <v>381</v>
      </c>
      <c r="E266" s="9">
        <v>381</v>
      </c>
      <c r="I266" t="s">
        <v>473</v>
      </c>
    </row>
    <row r="267" spans="1:11" x14ac:dyDescent="0.2">
      <c r="A267" s="9" t="s">
        <v>654</v>
      </c>
      <c r="B267" s="6" t="s">
        <v>177</v>
      </c>
      <c r="C267" s="73">
        <v>65102</v>
      </c>
      <c r="E267" s="9">
        <v>450</v>
      </c>
      <c r="I267" t="s">
        <v>474</v>
      </c>
    </row>
    <row r="268" spans="1:11" x14ac:dyDescent="0.2">
      <c r="A268" s="9" t="s">
        <v>654</v>
      </c>
      <c r="B268" s="6" t="s">
        <v>177</v>
      </c>
      <c r="C268" s="73">
        <v>68102</v>
      </c>
      <c r="E268" s="9">
        <v>800</v>
      </c>
      <c r="I268" t="s">
        <v>475</v>
      </c>
    </row>
    <row r="269" spans="1:11" x14ac:dyDescent="0.2">
      <c r="A269" s="9" t="s">
        <v>654</v>
      </c>
      <c r="B269" s="6" t="s">
        <v>177</v>
      </c>
      <c r="C269" s="73">
        <v>81182</v>
      </c>
      <c r="E269" s="9">
        <v>719</v>
      </c>
      <c r="I269" t="s">
        <v>476</v>
      </c>
    </row>
    <row r="270" spans="1:11" x14ac:dyDescent="0.2">
      <c r="A270" s="9" t="s">
        <v>654</v>
      </c>
      <c r="B270" s="6" t="s">
        <v>177</v>
      </c>
      <c r="C270" s="73">
        <v>67102</v>
      </c>
      <c r="E270" s="9">
        <v>500</v>
      </c>
      <c r="I270" t="s">
        <v>477</v>
      </c>
    </row>
    <row r="271" spans="1:11" x14ac:dyDescent="0.2">
      <c r="A271" s="9" t="s">
        <v>654</v>
      </c>
      <c r="B271" s="6" t="s">
        <v>177</v>
      </c>
      <c r="C271" s="73">
        <v>81383</v>
      </c>
      <c r="E271" s="9">
        <v>880</v>
      </c>
      <c r="I271" t="s">
        <v>478</v>
      </c>
    </row>
    <row r="272" spans="1:11" x14ac:dyDescent="0.2">
      <c r="A272" s="9" t="s">
        <v>654</v>
      </c>
      <c r="B272" s="6" t="s">
        <v>177</v>
      </c>
      <c r="C272" s="73">
        <v>68103</v>
      </c>
      <c r="E272" s="9">
        <v>900</v>
      </c>
      <c r="I272" t="s">
        <v>479</v>
      </c>
    </row>
    <row r="273" spans="1:9" x14ac:dyDescent="0.2">
      <c r="A273" s="9" t="s">
        <v>654</v>
      </c>
      <c r="B273" s="6" t="s">
        <v>177</v>
      </c>
      <c r="C273" s="73">
        <v>65132</v>
      </c>
      <c r="E273" s="9">
        <v>600</v>
      </c>
      <c r="I273" t="s">
        <v>480</v>
      </c>
    </row>
    <row r="274" spans="1:9" x14ac:dyDescent="0.2">
      <c r="A274" s="9" t="s">
        <v>654</v>
      </c>
      <c r="B274" s="6" t="s">
        <v>177</v>
      </c>
      <c r="C274" s="73">
        <v>81283</v>
      </c>
      <c r="E274" s="9">
        <v>880</v>
      </c>
      <c r="I274" t="s">
        <v>481</v>
      </c>
    </row>
    <row r="275" spans="1:9" x14ac:dyDescent="0.2">
      <c r="A275" s="9" t="s">
        <v>654</v>
      </c>
      <c r="B275" s="6" t="s">
        <v>177</v>
      </c>
      <c r="C275" s="73">
        <v>61402</v>
      </c>
      <c r="E275" s="9">
        <v>352</v>
      </c>
      <c r="I275" t="s">
        <v>482</v>
      </c>
    </row>
    <row r="276" spans="1:9" x14ac:dyDescent="0.2">
      <c r="A276" s="9" t="s">
        <v>654</v>
      </c>
      <c r="B276" s="6" t="s">
        <v>177</v>
      </c>
      <c r="C276" s="73">
        <v>81122</v>
      </c>
      <c r="E276" s="9">
        <v>539</v>
      </c>
      <c r="I276" t="s">
        <v>482</v>
      </c>
    </row>
    <row r="277" spans="1:9" x14ac:dyDescent="0.2">
      <c r="A277" s="9" t="s">
        <v>654</v>
      </c>
      <c r="B277" s="6" t="s">
        <v>177</v>
      </c>
      <c r="C277" s="73">
        <v>81382</v>
      </c>
      <c r="E277" s="9">
        <v>700</v>
      </c>
      <c r="I277" t="s">
        <v>483</v>
      </c>
    </row>
    <row r="278" spans="1:9" x14ac:dyDescent="0.2">
      <c r="A278" s="9" t="s">
        <v>654</v>
      </c>
      <c r="B278" s="6" t="s">
        <v>177</v>
      </c>
      <c r="C278" s="73">
        <v>81282</v>
      </c>
      <c r="E278" s="9">
        <v>798</v>
      </c>
      <c r="I278" t="s">
        <v>484</v>
      </c>
    </row>
    <row r="279" spans="1:9" x14ac:dyDescent="0.2">
      <c r="A279" s="9" t="s">
        <v>654</v>
      </c>
      <c r="B279" s="6" t="s">
        <v>177</v>
      </c>
      <c r="C279" s="73">
        <v>60022</v>
      </c>
      <c r="E279" s="9">
        <v>279</v>
      </c>
      <c r="I279" t="s">
        <v>485</v>
      </c>
    </row>
    <row r="280" spans="1:9" x14ac:dyDescent="0.2">
      <c r="A280" s="9" t="s">
        <v>654</v>
      </c>
      <c r="B280" s="6" t="s">
        <v>171</v>
      </c>
      <c r="C280" s="73" t="s">
        <v>496</v>
      </c>
      <c r="E280" s="9">
        <v>720</v>
      </c>
      <c r="I280" t="s">
        <v>497</v>
      </c>
    </row>
    <row r="281" spans="1:9" x14ac:dyDescent="0.2">
      <c r="A281" s="9" t="s">
        <v>654</v>
      </c>
      <c r="B281" s="6" t="s">
        <v>171</v>
      </c>
      <c r="C281" s="73" t="s">
        <v>501</v>
      </c>
      <c r="E281" s="9">
        <v>1259</v>
      </c>
      <c r="I281" t="s">
        <v>502</v>
      </c>
    </row>
    <row r="282" spans="1:9" x14ac:dyDescent="0.2">
      <c r="A282" s="9" t="s">
        <v>654</v>
      </c>
      <c r="B282" s="6" t="s">
        <v>171</v>
      </c>
      <c r="C282" s="73" t="s">
        <v>503</v>
      </c>
      <c r="E282" s="9">
        <v>1124</v>
      </c>
      <c r="I282" t="s">
        <v>504</v>
      </c>
    </row>
    <row r="283" spans="1:9" x14ac:dyDescent="0.2">
      <c r="A283" s="9" t="s">
        <v>654</v>
      </c>
      <c r="B283" s="6" t="s">
        <v>171</v>
      </c>
      <c r="C283" s="73" t="s">
        <v>506</v>
      </c>
      <c r="E283" s="9">
        <v>1259</v>
      </c>
      <c r="I283" t="s">
        <v>507</v>
      </c>
    </row>
    <row r="284" spans="1:9" x14ac:dyDescent="0.2">
      <c r="A284" s="9" t="s">
        <v>654</v>
      </c>
      <c r="B284" s="6" t="s">
        <v>171</v>
      </c>
      <c r="C284" s="73" t="s">
        <v>509</v>
      </c>
      <c r="E284" s="9">
        <v>1214</v>
      </c>
      <c r="I284" t="s">
        <v>510</v>
      </c>
    </row>
    <row r="285" spans="1:9" x14ac:dyDescent="0.2">
      <c r="A285" s="9" t="s">
        <v>654</v>
      </c>
      <c r="B285" s="6" t="s">
        <v>511</v>
      </c>
      <c r="C285" s="73">
        <v>81073</v>
      </c>
      <c r="E285" s="9">
        <v>1400</v>
      </c>
      <c r="I285" t="s">
        <v>512</v>
      </c>
    </row>
    <row r="286" spans="1:9" x14ac:dyDescent="0.2">
      <c r="A286" s="9" t="s">
        <v>654</v>
      </c>
      <c r="B286" s="6" t="s">
        <v>511</v>
      </c>
      <c r="C286" s="73">
        <v>81072</v>
      </c>
      <c r="E286" s="9">
        <v>1255</v>
      </c>
      <c r="I286" t="s">
        <v>513</v>
      </c>
    </row>
    <row r="287" spans="1:9" x14ac:dyDescent="0.2">
      <c r="A287" s="9" t="s">
        <v>654</v>
      </c>
      <c r="B287" s="6" t="s">
        <v>511</v>
      </c>
      <c r="C287" s="73">
        <v>61623</v>
      </c>
      <c r="E287" s="9">
        <v>989</v>
      </c>
      <c r="I287" t="s">
        <v>514</v>
      </c>
    </row>
    <row r="288" spans="1:9" x14ac:dyDescent="0.2">
      <c r="A288" s="9" t="s">
        <v>654</v>
      </c>
      <c r="B288" s="6" t="s">
        <v>511</v>
      </c>
      <c r="C288" s="73">
        <v>81100</v>
      </c>
      <c r="E288" s="9">
        <v>1305</v>
      </c>
      <c r="I288" t="s">
        <v>515</v>
      </c>
    </row>
    <row r="289" spans="1:9" x14ac:dyDescent="0.2">
      <c r="A289" s="9" t="s">
        <v>654</v>
      </c>
      <c r="B289" s="6" t="s">
        <v>511</v>
      </c>
      <c r="C289" s="73">
        <v>81583</v>
      </c>
      <c r="E289" s="9">
        <v>1200</v>
      </c>
      <c r="I289" t="s">
        <v>516</v>
      </c>
    </row>
    <row r="290" spans="1:9" x14ac:dyDescent="0.2">
      <c r="A290" s="9" t="s">
        <v>654</v>
      </c>
      <c r="B290" s="6" t="s">
        <v>511</v>
      </c>
      <c r="C290" s="73">
        <v>61422</v>
      </c>
      <c r="E290" s="9">
        <v>900</v>
      </c>
      <c r="I290" t="s">
        <v>517</v>
      </c>
    </row>
    <row r="291" spans="1:9" x14ac:dyDescent="0.2">
      <c r="A291" s="9" t="s">
        <v>654</v>
      </c>
      <c r="B291" s="6" t="s">
        <v>511</v>
      </c>
      <c r="C291" s="73">
        <v>81102</v>
      </c>
      <c r="E291" s="9">
        <v>1200</v>
      </c>
      <c r="I291" t="s">
        <v>518</v>
      </c>
    </row>
    <row r="292" spans="1:9" x14ac:dyDescent="0.2">
      <c r="A292" s="9" t="s">
        <v>654</v>
      </c>
      <c r="B292" s="6" t="s">
        <v>511</v>
      </c>
      <c r="C292" s="73">
        <v>61622</v>
      </c>
      <c r="E292" s="9">
        <v>970</v>
      </c>
      <c r="I292" t="s">
        <v>519</v>
      </c>
    </row>
    <row r="293" spans="1:9" x14ac:dyDescent="0.2">
      <c r="A293" s="9" t="s">
        <v>654</v>
      </c>
      <c r="B293" s="6" t="s">
        <v>511</v>
      </c>
      <c r="C293" s="73">
        <v>81472</v>
      </c>
      <c r="E293" s="9">
        <v>700</v>
      </c>
      <c r="I293" t="s">
        <v>520</v>
      </c>
    </row>
    <row r="294" spans="1:9" x14ac:dyDescent="0.2">
      <c r="A294" s="9" t="s">
        <v>654</v>
      </c>
      <c r="B294" s="6" t="s">
        <v>511</v>
      </c>
      <c r="C294" s="73">
        <v>61412</v>
      </c>
      <c r="E294" s="9">
        <v>800</v>
      </c>
      <c r="I294" t="s">
        <v>521</v>
      </c>
    </row>
    <row r="295" spans="1:9" x14ac:dyDescent="0.2">
      <c r="A295" s="9" t="s">
        <v>654</v>
      </c>
      <c r="B295" s="6" t="s">
        <v>174</v>
      </c>
      <c r="C295" s="73" t="s">
        <v>532</v>
      </c>
      <c r="E295" s="9">
        <v>1200</v>
      </c>
      <c r="I295" t="s">
        <v>533</v>
      </c>
    </row>
    <row r="296" spans="1:9" x14ac:dyDescent="0.2">
      <c r="A296" s="9" t="s">
        <v>654</v>
      </c>
      <c r="B296" s="6" t="s">
        <v>263</v>
      </c>
      <c r="C296" s="73" t="s">
        <v>555</v>
      </c>
      <c r="E296" s="9">
        <v>810</v>
      </c>
      <c r="I296" t="s">
        <v>556</v>
      </c>
    </row>
    <row r="297" spans="1:9" x14ac:dyDescent="0.2">
      <c r="A297" s="9" t="s">
        <v>654</v>
      </c>
      <c r="B297" s="6" t="s">
        <v>263</v>
      </c>
      <c r="C297" s="73" t="s">
        <v>557</v>
      </c>
      <c r="E297" s="9">
        <v>1500</v>
      </c>
      <c r="I297" t="s">
        <v>558</v>
      </c>
    </row>
    <row r="298" spans="1:9" x14ac:dyDescent="0.2">
      <c r="A298" s="9" t="s">
        <v>654</v>
      </c>
      <c r="B298" s="6" t="s">
        <v>263</v>
      </c>
      <c r="C298" s="73" t="s">
        <v>559</v>
      </c>
      <c r="E298" s="9">
        <v>1300</v>
      </c>
      <c r="I298" t="s">
        <v>560</v>
      </c>
    </row>
    <row r="299" spans="1:9" x14ac:dyDescent="0.2">
      <c r="A299" s="9" t="s">
        <v>654</v>
      </c>
      <c r="B299" s="6" t="s">
        <v>263</v>
      </c>
      <c r="C299" s="73" t="s">
        <v>561</v>
      </c>
      <c r="E299" s="9">
        <v>1400</v>
      </c>
      <c r="I299" t="s">
        <v>562</v>
      </c>
    </row>
    <row r="300" spans="1:9" x14ac:dyDescent="0.2">
      <c r="A300" s="9" t="s">
        <v>654</v>
      </c>
      <c r="B300" s="6" t="s">
        <v>263</v>
      </c>
      <c r="C300" s="73" t="s">
        <v>563</v>
      </c>
      <c r="E300" s="9">
        <v>800</v>
      </c>
      <c r="I300" t="s">
        <v>564</v>
      </c>
    </row>
    <row r="301" spans="1:9" x14ac:dyDescent="0.2">
      <c r="A301" s="9" t="s">
        <v>654</v>
      </c>
      <c r="B301" s="6" t="s">
        <v>181</v>
      </c>
      <c r="C301" s="73" t="s">
        <v>571</v>
      </c>
      <c r="E301" s="9">
        <v>1282</v>
      </c>
      <c r="I301" t="s">
        <v>572</v>
      </c>
    </row>
    <row r="302" spans="1:9" x14ac:dyDescent="0.2">
      <c r="A302" s="9" t="s">
        <v>654</v>
      </c>
      <c r="B302" s="6" t="s">
        <v>180</v>
      </c>
      <c r="C302" s="73" t="s">
        <v>594</v>
      </c>
      <c r="E302" s="9">
        <v>800</v>
      </c>
      <c r="I302" t="s">
        <v>595</v>
      </c>
    </row>
    <row r="303" spans="1:9" x14ac:dyDescent="0.2">
      <c r="A303" s="9" t="s">
        <v>654</v>
      </c>
      <c r="B303" s="6" t="s">
        <v>180</v>
      </c>
      <c r="C303" s="73" t="s">
        <v>596</v>
      </c>
      <c r="E303" s="9">
        <v>800</v>
      </c>
      <c r="I303" t="s">
        <v>597</v>
      </c>
    </row>
    <row r="304" spans="1:9" x14ac:dyDescent="0.2">
      <c r="A304" s="9" t="s">
        <v>66</v>
      </c>
      <c r="B304" s="6" t="s">
        <v>177</v>
      </c>
      <c r="C304" s="73">
        <v>75102</v>
      </c>
      <c r="E304" s="9">
        <v>550</v>
      </c>
      <c r="I304" t="s">
        <v>598</v>
      </c>
    </row>
    <row r="305" spans="1:9" x14ac:dyDescent="0.2">
      <c r="A305" s="9" t="s">
        <v>66</v>
      </c>
      <c r="B305" s="6" t="s">
        <v>177</v>
      </c>
      <c r="C305" s="73">
        <v>72102</v>
      </c>
      <c r="E305" s="9">
        <v>471</v>
      </c>
      <c r="I305" t="s">
        <v>598</v>
      </c>
    </row>
    <row r="306" spans="1:9" x14ac:dyDescent="0.2">
      <c r="A306" s="9" t="s">
        <v>66</v>
      </c>
      <c r="B306" s="6" t="s">
        <v>511</v>
      </c>
      <c r="C306" s="73">
        <v>91073</v>
      </c>
      <c r="E306" s="9">
        <v>1500</v>
      </c>
      <c r="I306" t="s">
        <v>598</v>
      </c>
    </row>
    <row r="307" spans="1:9" x14ac:dyDescent="0.2">
      <c r="A307" s="9" t="s">
        <v>66</v>
      </c>
      <c r="B307" s="6" t="s">
        <v>177</v>
      </c>
      <c r="C307" s="73">
        <v>71402</v>
      </c>
      <c r="E307" s="9">
        <v>617</v>
      </c>
      <c r="I307" t="s">
        <v>598</v>
      </c>
    </row>
    <row r="308" spans="1:9" x14ac:dyDescent="0.2">
      <c r="A308" s="9" t="s">
        <v>66</v>
      </c>
      <c r="B308" s="9" t="s">
        <v>511</v>
      </c>
      <c r="C308" s="73">
        <v>91072</v>
      </c>
      <c r="E308" s="9">
        <v>1439</v>
      </c>
      <c r="I308" t="s">
        <v>598</v>
      </c>
    </row>
    <row r="309" spans="1:9" x14ac:dyDescent="0.2">
      <c r="A309" s="9" t="s">
        <v>66</v>
      </c>
      <c r="B309" s="9" t="s">
        <v>177</v>
      </c>
      <c r="C309" s="73">
        <v>91182</v>
      </c>
      <c r="E309" s="9">
        <v>809</v>
      </c>
      <c r="I309" t="s">
        <v>598</v>
      </c>
    </row>
    <row r="310" spans="1:9" x14ac:dyDescent="0.2">
      <c r="A310" s="9" t="s">
        <v>66</v>
      </c>
      <c r="B310" s="9" t="s">
        <v>177</v>
      </c>
      <c r="C310" s="73">
        <v>91122</v>
      </c>
      <c r="E310" s="9">
        <v>700</v>
      </c>
      <c r="I310" t="s">
        <v>598</v>
      </c>
    </row>
    <row r="311" spans="1:9" x14ac:dyDescent="0.2">
      <c r="A311" s="9" t="s">
        <v>66</v>
      </c>
      <c r="B311" s="9" t="s">
        <v>177</v>
      </c>
      <c r="C311" s="73">
        <v>91382</v>
      </c>
      <c r="E311" s="9">
        <v>800</v>
      </c>
      <c r="I311" t="s">
        <v>598</v>
      </c>
    </row>
    <row r="312" spans="1:9" x14ac:dyDescent="0.2">
      <c r="A312" s="9" t="s">
        <v>66</v>
      </c>
      <c r="B312" s="9" t="s">
        <v>177</v>
      </c>
      <c r="C312" s="73">
        <v>78102</v>
      </c>
      <c r="E312" s="9">
        <v>900</v>
      </c>
      <c r="I312" t="s">
        <v>598</v>
      </c>
    </row>
    <row r="313" spans="1:9" x14ac:dyDescent="0.2">
      <c r="A313" s="9" t="s">
        <v>66</v>
      </c>
      <c r="B313" s="9" t="s">
        <v>177</v>
      </c>
      <c r="C313" s="73">
        <v>77102</v>
      </c>
      <c r="E313" s="9">
        <v>600</v>
      </c>
      <c r="I313" t="s">
        <v>598</v>
      </c>
    </row>
    <row r="314" spans="1:9" x14ac:dyDescent="0.2">
      <c r="A314" s="9" t="s">
        <v>66</v>
      </c>
      <c r="B314" s="9" t="s">
        <v>177</v>
      </c>
      <c r="C314" s="73">
        <v>78103</v>
      </c>
      <c r="E314" s="9">
        <v>882</v>
      </c>
      <c r="I314" t="s">
        <v>598</v>
      </c>
    </row>
    <row r="315" spans="1:9" x14ac:dyDescent="0.2">
      <c r="A315" s="9" t="s">
        <v>66</v>
      </c>
      <c r="B315" s="9" t="s">
        <v>511</v>
      </c>
      <c r="C315" s="73">
        <v>71623</v>
      </c>
      <c r="E315" s="9">
        <v>1169</v>
      </c>
      <c r="I315" t="s">
        <v>598</v>
      </c>
    </row>
    <row r="316" spans="1:9" x14ac:dyDescent="0.2">
      <c r="A316" s="9" t="s">
        <v>66</v>
      </c>
      <c r="B316" s="9" t="s">
        <v>511</v>
      </c>
      <c r="C316" s="73">
        <v>71622</v>
      </c>
      <c r="E316" s="9">
        <v>1050</v>
      </c>
      <c r="I316" t="s">
        <v>598</v>
      </c>
    </row>
    <row r="317" spans="1:9" x14ac:dyDescent="0.2">
      <c r="A317" s="9" t="s">
        <v>66</v>
      </c>
      <c r="B317" s="9" t="s">
        <v>171</v>
      </c>
      <c r="C317" s="73" t="s">
        <v>599</v>
      </c>
      <c r="E317" s="9">
        <v>1215</v>
      </c>
      <c r="I317" t="s">
        <v>598</v>
      </c>
    </row>
    <row r="318" spans="1:9" x14ac:dyDescent="0.2">
      <c r="A318" s="9" t="s">
        <v>66</v>
      </c>
      <c r="B318" s="9" t="s">
        <v>177</v>
      </c>
      <c r="C318" s="73">
        <v>75132</v>
      </c>
      <c r="E318" s="9">
        <v>700</v>
      </c>
      <c r="I318" t="s">
        <v>598</v>
      </c>
    </row>
    <row r="319" spans="1:9" x14ac:dyDescent="0.2">
      <c r="A319" s="9" t="s">
        <v>66</v>
      </c>
      <c r="B319" s="9" t="s">
        <v>511</v>
      </c>
      <c r="C319" s="73">
        <v>91102</v>
      </c>
      <c r="E319" s="9">
        <v>1300</v>
      </c>
      <c r="I319" t="s">
        <v>598</v>
      </c>
    </row>
    <row r="320" spans="1:9" x14ac:dyDescent="0.2">
      <c r="A320" s="9" t="s">
        <v>66</v>
      </c>
      <c r="B320" s="9" t="s">
        <v>171</v>
      </c>
      <c r="C320" s="73" t="s">
        <v>600</v>
      </c>
      <c r="E320" s="9">
        <v>1080</v>
      </c>
      <c r="I320" t="s">
        <v>598</v>
      </c>
    </row>
    <row r="321" spans="1:9" x14ac:dyDescent="0.2">
      <c r="A321" s="9" t="s">
        <v>66</v>
      </c>
      <c r="B321" s="9" t="s">
        <v>171</v>
      </c>
      <c r="C321" s="73" t="s">
        <v>602</v>
      </c>
      <c r="E321" s="9">
        <v>810</v>
      </c>
      <c r="I321" t="s">
        <v>601</v>
      </c>
    </row>
    <row r="322" spans="1:9" x14ac:dyDescent="0.2">
      <c r="A322" s="9" t="s">
        <v>66</v>
      </c>
      <c r="B322" s="9" t="s">
        <v>177</v>
      </c>
      <c r="C322" s="73">
        <v>91383</v>
      </c>
      <c r="E322" s="9">
        <v>980</v>
      </c>
      <c r="I322" t="s">
        <v>601</v>
      </c>
    </row>
    <row r="323" spans="1:9" x14ac:dyDescent="0.2">
      <c r="A323" s="9" t="s">
        <v>66</v>
      </c>
      <c r="B323" s="9" t="s">
        <v>181</v>
      </c>
      <c r="C323" s="73" t="s">
        <v>603</v>
      </c>
      <c r="E323" s="9">
        <v>1377</v>
      </c>
      <c r="I323" t="s">
        <v>601</v>
      </c>
    </row>
    <row r="324" spans="1:9" x14ac:dyDescent="0.2">
      <c r="A324" s="9" t="s">
        <v>66</v>
      </c>
      <c r="B324" s="9" t="s">
        <v>181</v>
      </c>
      <c r="C324" s="73" t="s">
        <v>604</v>
      </c>
      <c r="E324" s="9">
        <v>1282</v>
      </c>
      <c r="I324" t="s">
        <v>601</v>
      </c>
    </row>
    <row r="325" spans="1:9" x14ac:dyDescent="0.2">
      <c r="A325" s="9" t="s">
        <v>66</v>
      </c>
      <c r="B325" s="9" t="s">
        <v>180</v>
      </c>
      <c r="C325" s="73" t="s">
        <v>605</v>
      </c>
      <c r="E325" s="9">
        <v>900</v>
      </c>
      <c r="I325" t="s">
        <v>601</v>
      </c>
    </row>
    <row r="326" spans="1:9" x14ac:dyDescent="0.2">
      <c r="A326" s="9" t="s">
        <v>66</v>
      </c>
      <c r="B326" s="9" t="s">
        <v>511</v>
      </c>
      <c r="C326" s="73">
        <v>91100</v>
      </c>
      <c r="E326" s="9">
        <v>1370</v>
      </c>
      <c r="I326" t="s">
        <v>601</v>
      </c>
    </row>
    <row r="327" spans="1:9" x14ac:dyDescent="0.2">
      <c r="A327" s="9" t="s">
        <v>66</v>
      </c>
      <c r="B327" s="9" t="s">
        <v>263</v>
      </c>
      <c r="C327" s="73" t="s">
        <v>606</v>
      </c>
      <c r="E327" s="9">
        <v>899</v>
      </c>
      <c r="I327" t="s">
        <v>601</v>
      </c>
    </row>
    <row r="328" spans="1:9" x14ac:dyDescent="0.2">
      <c r="A328" s="9" t="s">
        <v>66</v>
      </c>
      <c r="B328" s="9" t="s">
        <v>511</v>
      </c>
      <c r="C328" s="73">
        <v>91582</v>
      </c>
      <c r="E328" s="9">
        <v>1150</v>
      </c>
      <c r="I328" t="s">
        <v>601</v>
      </c>
    </row>
    <row r="329" spans="1:9" x14ac:dyDescent="0.2">
      <c r="A329" s="9" t="s">
        <v>66</v>
      </c>
      <c r="B329" s="9" t="s">
        <v>177</v>
      </c>
      <c r="C329" s="73">
        <v>91283</v>
      </c>
      <c r="E329" s="9">
        <v>989</v>
      </c>
      <c r="I329" t="s">
        <v>601</v>
      </c>
    </row>
    <row r="330" spans="1:9" x14ac:dyDescent="0.2">
      <c r="A330" s="9" t="s">
        <v>66</v>
      </c>
      <c r="B330" s="9" t="s">
        <v>177</v>
      </c>
      <c r="C330" s="73">
        <v>91282</v>
      </c>
      <c r="E330" s="9">
        <v>900</v>
      </c>
      <c r="I330" t="s">
        <v>601</v>
      </c>
    </row>
    <row r="331" spans="1:9" x14ac:dyDescent="0.2">
      <c r="A331" s="9" t="s">
        <v>66</v>
      </c>
      <c r="B331" s="9" t="s">
        <v>174</v>
      </c>
      <c r="C331" s="73" t="s">
        <v>607</v>
      </c>
      <c r="E331" s="9">
        <v>1300</v>
      </c>
      <c r="I331" t="s">
        <v>601</v>
      </c>
    </row>
    <row r="332" spans="1:9" x14ac:dyDescent="0.2">
      <c r="A332" s="9" t="s">
        <v>66</v>
      </c>
      <c r="B332" s="9" t="s">
        <v>171</v>
      </c>
      <c r="C332" s="73" t="s">
        <v>608</v>
      </c>
      <c r="E332" s="9">
        <v>899</v>
      </c>
      <c r="I332" t="s">
        <v>601</v>
      </c>
    </row>
    <row r="333" spans="1:9" x14ac:dyDescent="0.2">
      <c r="A333" s="9" t="s">
        <v>66</v>
      </c>
      <c r="B333" s="9" t="s">
        <v>180</v>
      </c>
      <c r="C333" s="73" t="s">
        <v>609</v>
      </c>
      <c r="E333" s="9">
        <v>1700</v>
      </c>
      <c r="I333" t="s">
        <v>601</v>
      </c>
    </row>
    <row r="334" spans="1:9" x14ac:dyDescent="0.2">
      <c r="A334" s="9" t="s">
        <v>66</v>
      </c>
      <c r="B334" s="9" t="s">
        <v>181</v>
      </c>
      <c r="C334" s="73" t="s">
        <v>610</v>
      </c>
      <c r="E334" s="9">
        <v>900</v>
      </c>
      <c r="I334" t="s">
        <v>611</v>
      </c>
    </row>
    <row r="335" spans="1:9" x14ac:dyDescent="0.2">
      <c r="A335" s="9" t="s">
        <v>66</v>
      </c>
      <c r="B335" s="9" t="s">
        <v>511</v>
      </c>
      <c r="C335" s="73">
        <v>71423</v>
      </c>
      <c r="E335" s="9">
        <v>1050</v>
      </c>
      <c r="I335" t="s">
        <v>611</v>
      </c>
    </row>
    <row r="336" spans="1:9" x14ac:dyDescent="0.2">
      <c r="A336" s="9" t="s">
        <v>66</v>
      </c>
      <c r="B336" s="9" t="s">
        <v>174</v>
      </c>
      <c r="C336" s="73" t="s">
        <v>612</v>
      </c>
      <c r="E336" s="9">
        <v>1300</v>
      </c>
      <c r="I336" t="s">
        <v>611</v>
      </c>
    </row>
    <row r="337" spans="1:9" x14ac:dyDescent="0.2">
      <c r="A337" s="9" t="s">
        <v>66</v>
      </c>
      <c r="B337" s="9" t="s">
        <v>263</v>
      </c>
      <c r="C337" s="73" t="s">
        <v>613</v>
      </c>
      <c r="E337" s="9">
        <v>1600</v>
      </c>
      <c r="I337" t="s">
        <v>611</v>
      </c>
    </row>
    <row r="338" spans="1:9" x14ac:dyDescent="0.2">
      <c r="A338" s="9" t="s">
        <v>66</v>
      </c>
      <c r="B338" s="9" t="s">
        <v>180</v>
      </c>
      <c r="C338" s="73" t="s">
        <v>614</v>
      </c>
      <c r="E338" s="9">
        <v>820</v>
      </c>
      <c r="I338" t="s">
        <v>611</v>
      </c>
    </row>
    <row r="339" spans="1:9" x14ac:dyDescent="0.2">
      <c r="A339" s="9" t="s">
        <v>66</v>
      </c>
      <c r="B339" s="9" t="s">
        <v>263</v>
      </c>
      <c r="C339" s="73" t="s">
        <v>615</v>
      </c>
      <c r="E339" s="9">
        <v>1400</v>
      </c>
      <c r="I339" t="s">
        <v>611</v>
      </c>
    </row>
    <row r="340" spans="1:9" x14ac:dyDescent="0.2">
      <c r="A340" s="9" t="s">
        <v>66</v>
      </c>
      <c r="B340" s="9" t="s">
        <v>263</v>
      </c>
      <c r="C340" s="73" t="s">
        <v>616</v>
      </c>
      <c r="E340" s="9">
        <v>900</v>
      </c>
      <c r="I340" t="s">
        <v>611</v>
      </c>
    </row>
    <row r="341" spans="1:9" x14ac:dyDescent="0.2">
      <c r="A341" s="9" t="s">
        <v>66</v>
      </c>
      <c r="B341" s="9" t="s">
        <v>263</v>
      </c>
      <c r="C341" s="73" t="s">
        <v>617</v>
      </c>
      <c r="E341" s="9">
        <v>1500</v>
      </c>
      <c r="I341" t="s">
        <v>611</v>
      </c>
    </row>
  </sheetData>
  <autoFilter ref="A1:L341"/>
  <conditionalFormatting sqref="C233:C1048576 C118:C208 C1:C116 C210:C231">
    <cfRule type="duplicateValues" dxfId="5" priority="6"/>
  </conditionalFormatting>
  <conditionalFormatting sqref="C233:C1048576 C1:C208 C210:C231">
    <cfRule type="duplicateValues" dxfId="4" priority="5"/>
  </conditionalFormatting>
  <conditionalFormatting sqref="C232">
    <cfRule type="duplicateValues" dxfId="3" priority="4"/>
  </conditionalFormatting>
  <conditionalFormatting sqref="C232">
    <cfRule type="duplicateValues" dxfId="2" priority="3"/>
  </conditionalFormatting>
  <conditionalFormatting sqref="C209">
    <cfRule type="duplicateValues" dxfId="1" priority="2"/>
  </conditionalFormatting>
  <conditionalFormatting sqref="C209">
    <cfRule type="duplicateValues" dxfId="0" priority="1"/>
  </conditionalFormatting>
  <hyperlinks>
    <hyperlink ref="K237"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View</vt:lpstr>
      <vt:lpstr>Intermediate Data</vt:lpstr>
      <vt:lpstr>Measure Quantitative Data</vt:lpstr>
      <vt:lpstr>Measure Qualitative Data</vt:lpstr>
      <vt:lpstr>Codes and Specs Data</vt:lpstr>
      <vt:lpstr>Source Info</vt:lpstr>
      <vt:lpstr>Availability and Costs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2014-09-25T17:24:17Z</dcterms:created>
  <dcterms:modified xsi:type="dcterms:W3CDTF">2015-07-03T11:16:03Z</dcterms:modified>
</cp:coreProperties>
</file>