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ack\Limbo\SCE\BIP 2015\Models\Ex Post Protocol Tables\"/>
    </mc:Choice>
  </mc:AlternateContent>
  <bookViews>
    <workbookView xWindow="0" yWindow="75" windowWidth="19035" windowHeight="11760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Data!$A$1:$FR$9</definedName>
    <definedName name="Bid">Lookups!$D$8</definedName>
    <definedName name="_xlnm.Criteria">Lookups!$B$3:$C$4</definedName>
    <definedName name="data">Data!$A$1:$FS$2773</definedName>
    <definedName name="date">Table!$B$5</definedName>
    <definedName name="date_list">Lookups!$K$4:$K$5</definedName>
    <definedName name="dual_enrol_list">Lookups!$N$4:$N$6</definedName>
    <definedName name="Enrolled">Lookups!$D$6</definedName>
    <definedName name="ind_list">Lookups!$L$4:$L$11</definedName>
    <definedName name="lca">Table!$B$8</definedName>
    <definedName name="lca_list">Lookups!$M$4:$M$7</definedName>
    <definedName name="pass">Lookups!$D$9</definedName>
    <definedName name="_xlnm.Print_Area" localSheetId="0">Table!$A$2:$N$36</definedName>
    <definedName name="Result_type">Table!$B$4</definedName>
    <definedName name="Result_type_list">Lookups!$J$4:$J$5</definedName>
    <definedName name="table_for_PGE_CBP_expost_private" localSheetId="2">Data!$A$1:$FR$199</definedName>
  </definedNames>
  <calcPr calcId="162913"/>
</workbook>
</file>

<file path=xl/calcChain.xml><?xml version="1.0" encoding="utf-8"?>
<calcChain xmlns="http://schemas.openxmlformats.org/spreadsheetml/2006/main">
  <c r="I2" i="4" l="1"/>
  <c r="H32" i="4" l="1"/>
  <c r="G32" i="4"/>
  <c r="G5" i="4"/>
  <c r="C32" i="2" l="1"/>
  <c r="F12" i="2" l="1"/>
  <c r="F11" i="2"/>
  <c r="F32" i="4"/>
  <c r="J3" i="4" l="1"/>
  <c r="A27" i="2"/>
  <c r="A26" i="2"/>
  <c r="A25" i="2"/>
  <c r="A24" i="2"/>
  <c r="A23" i="2"/>
  <c r="A22" i="2"/>
  <c r="A21" i="2"/>
  <c r="A20" i="2"/>
  <c r="A19" i="2"/>
  <c r="A18" i="2"/>
  <c r="A17" i="2"/>
  <c r="G32" i="2" l="1"/>
  <c r="A33" i="2"/>
  <c r="C33" i="2" s="1"/>
  <c r="C4" i="2"/>
  <c r="B60" i="2" s="1"/>
  <c r="B4" i="2"/>
  <c r="J32" i="4"/>
  <c r="J6" i="4"/>
  <c r="H5" i="4"/>
  <c r="F5" i="4"/>
  <c r="D9" i="2" l="1"/>
  <c r="D8" i="2"/>
  <c r="B61" i="2" s="1"/>
  <c r="B59" i="2" s="1"/>
  <c r="D6" i="2"/>
  <c r="M33" i="2"/>
  <c r="G33" i="2"/>
  <c r="M32" i="2"/>
  <c r="L33" i="2"/>
  <c r="E33" i="2"/>
  <c r="H33" i="2"/>
  <c r="I33" i="2"/>
  <c r="J33" i="2"/>
  <c r="F33" i="2"/>
  <c r="D33" i="2"/>
  <c r="K33" i="2"/>
  <c r="L32" i="2"/>
  <c r="D32" i="2"/>
  <c r="E32" i="2"/>
  <c r="H32" i="2"/>
  <c r="I32" i="2"/>
  <c r="J32" i="2"/>
  <c r="F32" i="2"/>
  <c r="K32" i="2"/>
  <c r="A34" i="2"/>
  <c r="C34" i="2" s="1"/>
  <c r="N31" i="4" l="1"/>
  <c r="M30" i="4"/>
  <c r="K29" i="4"/>
  <c r="J28" i="4"/>
  <c r="I27" i="4"/>
  <c r="B51" i="2" s="1"/>
  <c r="H26" i="4"/>
  <c r="F25" i="4"/>
  <c r="G25" i="4" s="1"/>
  <c r="N23" i="4"/>
  <c r="M22" i="4"/>
  <c r="K21" i="4"/>
  <c r="J20" i="4"/>
  <c r="I19" i="4"/>
  <c r="B43" i="2" s="1"/>
  <c r="H18" i="4"/>
  <c r="L18" i="4" s="1"/>
  <c r="F17" i="4"/>
  <c r="G17" i="4" s="1"/>
  <c r="N15" i="4"/>
  <c r="M14" i="4"/>
  <c r="K13" i="4"/>
  <c r="J12" i="4"/>
  <c r="I11" i="4"/>
  <c r="H10" i="4"/>
  <c r="F9" i="4"/>
  <c r="K31" i="4"/>
  <c r="I29" i="4"/>
  <c r="B53" i="2" s="1"/>
  <c r="H28" i="4"/>
  <c r="L28" i="4" s="1"/>
  <c r="N25" i="4"/>
  <c r="K23" i="4"/>
  <c r="I21" i="4"/>
  <c r="F19" i="4"/>
  <c r="M16" i="4"/>
  <c r="K15" i="4"/>
  <c r="I13" i="4"/>
  <c r="B37" i="2" s="1"/>
  <c r="F11" i="4"/>
  <c r="G11" i="4" s="1"/>
  <c r="M8" i="4"/>
  <c r="J31" i="4"/>
  <c r="I30" i="4"/>
  <c r="B54" i="2" s="1"/>
  <c r="H29" i="4"/>
  <c r="F28" i="4"/>
  <c r="N26" i="4"/>
  <c r="M25" i="4"/>
  <c r="K24" i="4"/>
  <c r="J23" i="4"/>
  <c r="I22" i="4"/>
  <c r="H21" i="4"/>
  <c r="L21" i="4" s="1"/>
  <c r="F20" i="4"/>
  <c r="N18" i="4"/>
  <c r="M17" i="4"/>
  <c r="K16" i="4"/>
  <c r="J15" i="4"/>
  <c r="I14" i="4"/>
  <c r="H13" i="4"/>
  <c r="F12" i="4"/>
  <c r="N10" i="4"/>
  <c r="M9" i="4"/>
  <c r="K8" i="4"/>
  <c r="H16" i="4"/>
  <c r="L16" i="4" s="1"/>
  <c r="M12" i="4"/>
  <c r="J10" i="4"/>
  <c r="N30" i="4"/>
  <c r="K28" i="4"/>
  <c r="I26" i="4"/>
  <c r="B50" i="2" s="1"/>
  <c r="F24" i="4"/>
  <c r="N22" i="4"/>
  <c r="N35" i="4" s="1"/>
  <c r="K20" i="4"/>
  <c r="I18" i="4"/>
  <c r="B42" i="2" s="1"/>
  <c r="N14" i="4"/>
  <c r="K12" i="4"/>
  <c r="I10" i="4"/>
  <c r="F8" i="4"/>
  <c r="M31" i="4"/>
  <c r="K30" i="4"/>
  <c r="J29" i="4"/>
  <c r="I28" i="4"/>
  <c r="B52" i="2" s="1"/>
  <c r="H27" i="4"/>
  <c r="F26" i="4"/>
  <c r="N24" i="4"/>
  <c r="M23" i="4"/>
  <c r="K22" i="4"/>
  <c r="K35" i="4" s="1"/>
  <c r="J21" i="4"/>
  <c r="I20" i="4"/>
  <c r="B44" i="2" s="1"/>
  <c r="H19" i="4"/>
  <c r="L19" i="4" s="1"/>
  <c r="F18" i="4"/>
  <c r="N16" i="4"/>
  <c r="M15" i="4"/>
  <c r="K14" i="4"/>
  <c r="J13" i="4"/>
  <c r="I12" i="4"/>
  <c r="B36" i="2" s="1"/>
  <c r="H11" i="4"/>
  <c r="L11" i="4" s="1"/>
  <c r="F10" i="4"/>
  <c r="G10" i="4" s="1"/>
  <c r="N8" i="4"/>
  <c r="J30" i="4"/>
  <c r="F27" i="4"/>
  <c r="G27" i="4" s="1"/>
  <c r="M24" i="4"/>
  <c r="J22" i="4"/>
  <c r="J35" i="4" s="1"/>
  <c r="H20" i="4"/>
  <c r="N17" i="4"/>
  <c r="J14" i="4"/>
  <c r="H12" i="4"/>
  <c r="N9" i="4"/>
  <c r="I31" i="4"/>
  <c r="B55" i="2" s="1"/>
  <c r="H30" i="4"/>
  <c r="L30" i="4" s="1"/>
  <c r="F29" i="4"/>
  <c r="G29" i="4" s="1"/>
  <c r="N27" i="4"/>
  <c r="M26" i="4"/>
  <c r="K25" i="4"/>
  <c r="J24" i="4"/>
  <c r="I23" i="4"/>
  <c r="H22" i="4"/>
  <c r="H35" i="4" s="1"/>
  <c r="F21" i="4"/>
  <c r="N19" i="4"/>
  <c r="M18" i="4"/>
  <c r="K17" i="4"/>
  <c r="J16" i="4"/>
  <c r="I15" i="4"/>
  <c r="H14" i="4"/>
  <c r="F13" i="4"/>
  <c r="G13" i="4" s="1"/>
  <c r="N11" i="4"/>
  <c r="M10" i="4"/>
  <c r="K9" i="4"/>
  <c r="J8" i="4"/>
  <c r="H31" i="4"/>
  <c r="F30" i="4"/>
  <c r="N28" i="4"/>
  <c r="M27" i="4"/>
  <c r="K26" i="4"/>
  <c r="J25" i="4"/>
  <c r="I24" i="4"/>
  <c r="B48" i="2" s="1"/>
  <c r="H23" i="4"/>
  <c r="F22" i="4"/>
  <c r="F35" i="4" s="1"/>
  <c r="N20" i="4"/>
  <c r="M19" i="4"/>
  <c r="K18" i="4"/>
  <c r="J17" i="4"/>
  <c r="I16" i="4"/>
  <c r="B40" i="2" s="1"/>
  <c r="H15" i="4"/>
  <c r="L15" i="4" s="1"/>
  <c r="F14" i="4"/>
  <c r="G14" i="4" s="1"/>
  <c r="N12" i="4"/>
  <c r="M11" i="4"/>
  <c r="K10" i="4"/>
  <c r="J9" i="4"/>
  <c r="I8" i="4"/>
  <c r="B32" i="2" s="1"/>
  <c r="F31" i="4"/>
  <c r="N29" i="4"/>
  <c r="M28" i="4"/>
  <c r="K27" i="4"/>
  <c r="J26" i="4"/>
  <c r="I25" i="4"/>
  <c r="H24" i="4"/>
  <c r="F23" i="4"/>
  <c r="N21" i="4"/>
  <c r="M20" i="4"/>
  <c r="K19" i="4"/>
  <c r="J18" i="4"/>
  <c r="I17" i="4"/>
  <c r="F15" i="4"/>
  <c r="N13" i="4"/>
  <c r="K11" i="4"/>
  <c r="I9" i="4"/>
  <c r="B33" i="2" s="1"/>
  <c r="H8" i="4"/>
  <c r="M29" i="4"/>
  <c r="J27" i="4"/>
  <c r="H25" i="4"/>
  <c r="M21" i="4"/>
  <c r="J19" i="4"/>
  <c r="H17" i="4"/>
  <c r="F16" i="4"/>
  <c r="M13" i="4"/>
  <c r="J11" i="4"/>
  <c r="H9" i="4"/>
  <c r="L9" i="4" s="1"/>
  <c r="A1" i="4"/>
  <c r="G3" i="4"/>
  <c r="G2" i="4"/>
  <c r="J2" i="4"/>
  <c r="L10" i="4"/>
  <c r="L17" i="4"/>
  <c r="L27" i="4"/>
  <c r="L12" i="4"/>
  <c r="M35" i="4"/>
  <c r="L25" i="4"/>
  <c r="L13" i="4"/>
  <c r="B34" i="2"/>
  <c r="B46" i="2"/>
  <c r="I35" i="4" s="1"/>
  <c r="B45" i="2"/>
  <c r="B35" i="2"/>
  <c r="B41" i="2"/>
  <c r="B47" i="2"/>
  <c r="B38" i="2"/>
  <c r="B49" i="2"/>
  <c r="B39" i="2"/>
  <c r="A35" i="2"/>
  <c r="C35" i="2" s="1"/>
  <c r="H36" i="4" l="1"/>
  <c r="G12" i="4"/>
  <c r="G30" i="4"/>
  <c r="G24" i="4"/>
  <c r="G28" i="4"/>
  <c r="G9" i="4"/>
  <c r="G23" i="4"/>
  <c r="I34" i="4"/>
  <c r="G21" i="4"/>
  <c r="G8" i="4"/>
  <c r="G20" i="4"/>
  <c r="G19" i="4"/>
  <c r="H34" i="4"/>
  <c r="G15" i="4"/>
  <c r="G26" i="4"/>
  <c r="G16" i="4"/>
  <c r="G31" i="4"/>
  <c r="G22" i="4"/>
  <c r="G35" i="4" s="1"/>
  <c r="F34" i="4"/>
  <c r="G18" i="4"/>
  <c r="L23" i="4"/>
  <c r="L14" i="4"/>
  <c r="L29" i="4"/>
  <c r="L31" i="4"/>
  <c r="L22" i="4"/>
  <c r="L35" i="4" s="1"/>
  <c r="L26" i="4"/>
  <c r="L20" i="4"/>
  <c r="L24" i="4"/>
  <c r="L8" i="4"/>
  <c r="G34" i="2"/>
  <c r="M34" i="2"/>
  <c r="L34" i="2"/>
  <c r="E34" i="2"/>
  <c r="H34" i="2"/>
  <c r="I34" i="2"/>
  <c r="J34" i="2"/>
  <c r="K34" i="2"/>
  <c r="F34" i="2"/>
  <c r="D34" i="2"/>
  <c r="A36" i="2"/>
  <c r="C36" i="2" s="1"/>
  <c r="G34" i="4" l="1"/>
  <c r="M35" i="2"/>
  <c r="G35" i="2"/>
  <c r="L35" i="2"/>
  <c r="E35" i="2"/>
  <c r="H35" i="2"/>
  <c r="I35" i="2"/>
  <c r="J35" i="2"/>
  <c r="F35" i="2"/>
  <c r="D35" i="2"/>
  <c r="K35" i="2"/>
  <c r="A37" i="2"/>
  <c r="C37" i="2" s="1"/>
  <c r="M36" i="2" l="1"/>
  <c r="G36" i="2"/>
  <c r="L36" i="2"/>
  <c r="E36" i="2"/>
  <c r="H36" i="2"/>
  <c r="D36" i="2"/>
  <c r="I36" i="2"/>
  <c r="J36" i="2"/>
  <c r="K36" i="2"/>
  <c r="F36" i="2"/>
  <c r="A38" i="2"/>
  <c r="C38" i="2" s="1"/>
  <c r="M37" i="2" l="1"/>
  <c r="G37" i="2"/>
  <c r="L37" i="2"/>
  <c r="E37" i="2"/>
  <c r="H37" i="2"/>
  <c r="I37" i="2"/>
  <c r="D37" i="2"/>
  <c r="J37" i="2"/>
  <c r="K37" i="2"/>
  <c r="F37" i="2"/>
  <c r="A39" i="2"/>
  <c r="C39" i="2" s="1"/>
  <c r="M38" i="2" l="1"/>
  <c r="G38" i="2"/>
  <c r="L38" i="2"/>
  <c r="E38" i="2"/>
  <c r="H38" i="2"/>
  <c r="I38" i="2"/>
  <c r="J38" i="2"/>
  <c r="D38" i="2"/>
  <c r="F38" i="2"/>
  <c r="K38" i="2"/>
  <c r="A40" i="2"/>
  <c r="C40" i="2" s="1"/>
  <c r="M39" i="2" l="1"/>
  <c r="G39" i="2"/>
  <c r="L39" i="2"/>
  <c r="H39" i="2"/>
  <c r="I39" i="2"/>
  <c r="J39" i="2"/>
  <c r="K39" i="2"/>
  <c r="E39" i="2"/>
  <c r="D39" i="2"/>
  <c r="F39" i="2"/>
  <c r="A41" i="2"/>
  <c r="C41" i="2" s="1"/>
  <c r="M40" i="2" l="1"/>
  <c r="G40" i="2"/>
  <c r="L40" i="2"/>
  <c r="D40" i="2"/>
  <c r="H40" i="2"/>
  <c r="I40" i="2"/>
  <c r="J40" i="2"/>
  <c r="E40" i="2"/>
  <c r="F40" i="2"/>
  <c r="K40" i="2"/>
  <c r="A42" i="2"/>
  <c r="C42" i="2" s="1"/>
  <c r="M41" i="2" l="1"/>
  <c r="G41" i="2"/>
  <c r="L41" i="2"/>
  <c r="H41" i="2"/>
  <c r="I41" i="2"/>
  <c r="J41" i="2"/>
  <c r="K41" i="2"/>
  <c r="D41" i="2"/>
  <c r="E41" i="2"/>
  <c r="F41" i="2"/>
  <c r="A43" i="2"/>
  <c r="C43" i="2" s="1"/>
  <c r="G42" i="2" l="1"/>
  <c r="M42" i="2"/>
  <c r="L42" i="2"/>
  <c r="H42" i="2"/>
  <c r="I42" i="2"/>
  <c r="J42" i="2"/>
  <c r="E42" i="2"/>
  <c r="D42" i="2"/>
  <c r="F42" i="2"/>
  <c r="K42" i="2"/>
  <c r="A44" i="2"/>
  <c r="C44" i="2" s="1"/>
  <c r="M43" i="2" l="1"/>
  <c r="G43" i="2"/>
  <c r="L43" i="2"/>
  <c r="H43" i="2"/>
  <c r="I43" i="2"/>
  <c r="J43" i="2"/>
  <c r="K43" i="2"/>
  <c r="D43" i="2"/>
  <c r="E43" i="2"/>
  <c r="F43" i="2"/>
  <c r="A45" i="2"/>
  <c r="C45" i="2" s="1"/>
  <c r="M44" i="2" l="1"/>
  <c r="G44" i="2"/>
  <c r="L44" i="2"/>
  <c r="H44" i="2"/>
  <c r="D44" i="2"/>
  <c r="I44" i="2"/>
  <c r="J44" i="2"/>
  <c r="E44" i="2"/>
  <c r="F44" i="2"/>
  <c r="K44" i="2"/>
  <c r="A46" i="2"/>
  <c r="C46" i="2" s="1"/>
  <c r="M45" i="2" l="1"/>
  <c r="G45" i="2"/>
  <c r="L45" i="2"/>
  <c r="H45" i="2"/>
  <c r="I45" i="2"/>
  <c r="D45" i="2"/>
  <c r="J45" i="2"/>
  <c r="K45" i="2"/>
  <c r="E45" i="2"/>
  <c r="F45" i="2"/>
  <c r="A47" i="2"/>
  <c r="C47" i="2" s="1"/>
  <c r="M46" i="2" l="1"/>
  <c r="G46" i="2"/>
  <c r="L46" i="2"/>
  <c r="H46" i="2"/>
  <c r="I46" i="2"/>
  <c r="J46" i="2"/>
  <c r="E46" i="2"/>
  <c r="F46" i="2"/>
  <c r="D46" i="2"/>
  <c r="K46" i="2"/>
  <c r="A48" i="2"/>
  <c r="C48" i="2" s="1"/>
  <c r="M47" i="2" l="1"/>
  <c r="G47" i="2"/>
  <c r="L47" i="2"/>
  <c r="H47" i="2"/>
  <c r="I47" i="2"/>
  <c r="J47" i="2"/>
  <c r="K47" i="2"/>
  <c r="D47" i="2"/>
  <c r="E47" i="2"/>
  <c r="F47" i="2"/>
  <c r="A49" i="2"/>
  <c r="C49" i="2" s="1"/>
  <c r="M48" i="2" l="1"/>
  <c r="G48" i="2"/>
  <c r="L48" i="2"/>
  <c r="D48" i="2"/>
  <c r="H48" i="2"/>
  <c r="I48" i="2"/>
  <c r="J48" i="2"/>
  <c r="E48" i="2"/>
  <c r="F48" i="2"/>
  <c r="K48" i="2"/>
  <c r="A50" i="2"/>
  <c r="C50" i="2" s="1"/>
  <c r="M49" i="2" l="1"/>
  <c r="G49" i="2"/>
  <c r="L49" i="2"/>
  <c r="H49" i="2"/>
  <c r="I49" i="2"/>
  <c r="J49" i="2"/>
  <c r="K49" i="2"/>
  <c r="E49" i="2"/>
  <c r="F49" i="2"/>
  <c r="D49" i="2"/>
  <c r="A51" i="2"/>
  <c r="C51" i="2" s="1"/>
  <c r="G50" i="2" l="1"/>
  <c r="M50" i="2"/>
  <c r="L50" i="2"/>
  <c r="H50" i="2"/>
  <c r="I50" i="2"/>
  <c r="J50" i="2"/>
  <c r="E50" i="2"/>
  <c r="F50" i="2"/>
  <c r="K50" i="2"/>
  <c r="D50" i="2"/>
  <c r="A52" i="2"/>
  <c r="C52" i="2" s="1"/>
  <c r="M51" i="2" l="1"/>
  <c r="G51" i="2"/>
  <c r="L51" i="2"/>
  <c r="H51" i="2"/>
  <c r="I51" i="2"/>
  <c r="J51" i="2"/>
  <c r="K51" i="2"/>
  <c r="E51" i="2"/>
  <c r="F51" i="2"/>
  <c r="D51" i="2"/>
  <c r="A53" i="2"/>
  <c r="C53" i="2" s="1"/>
  <c r="M52" i="2" l="1"/>
  <c r="G52" i="2"/>
  <c r="L52" i="2"/>
  <c r="H52" i="2"/>
  <c r="D52" i="2"/>
  <c r="I52" i="2"/>
  <c r="J52" i="2"/>
  <c r="E52" i="2"/>
  <c r="F52" i="2"/>
  <c r="K52" i="2"/>
  <c r="A54" i="2"/>
  <c r="C54" i="2" s="1"/>
  <c r="M53" i="2" l="1"/>
  <c r="G53" i="2"/>
  <c r="L53" i="2"/>
  <c r="H53" i="2"/>
  <c r="I53" i="2"/>
  <c r="D53" i="2"/>
  <c r="J53" i="2"/>
  <c r="K53" i="2"/>
  <c r="E53" i="2"/>
  <c r="F53" i="2"/>
  <c r="A55" i="2"/>
  <c r="C55" i="2" s="1"/>
  <c r="M54" i="2" l="1"/>
  <c r="G54" i="2"/>
  <c r="M55" i="2"/>
  <c r="G55" i="2"/>
  <c r="L54" i="2"/>
  <c r="H54" i="2"/>
  <c r="I54" i="2"/>
  <c r="D54" i="2"/>
  <c r="E54" i="2"/>
  <c r="F54" i="2"/>
  <c r="J54" i="2"/>
  <c r="K54" i="2"/>
  <c r="L55" i="2"/>
  <c r="L56" i="2" s="1"/>
  <c r="H55" i="2"/>
  <c r="H56" i="2" s="1"/>
  <c r="I55" i="2"/>
  <c r="I56" i="2" s="1"/>
  <c r="J55" i="2"/>
  <c r="D55" i="2"/>
  <c r="K55" i="2"/>
  <c r="E55" i="2"/>
  <c r="F55" i="2"/>
  <c r="J56" i="2" l="1"/>
  <c r="K56" i="2"/>
  <c r="G56" i="2"/>
  <c r="F56" i="2"/>
  <c r="E56" i="2"/>
  <c r="D56" i="2"/>
  <c r="M56" i="2"/>
  <c r="D59" i="2" l="1"/>
  <c r="C59" i="2"/>
  <c r="G59" i="2"/>
  <c r="F59" i="2"/>
  <c r="E59" i="2"/>
</calcChain>
</file>

<file path=xl/connections.xml><?xml version="1.0" encoding="utf-8"?>
<connections xmlns="http://schemas.openxmlformats.org/spreadsheetml/2006/main">
  <connection id="1" name="table_for_PGE CBP_expost_private" type="6" refreshedVersion="5" deleted="1" background="1" saveData="1">
    <textPr codePage="437" sourceFile="P:\SCE\DBP 2013\Models\SCE\table_for_SCE DBP_expost_private.txt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<sst xmlns="http://schemas.openxmlformats.org/spreadsheetml/2006/main" count="273" uniqueCount="247">
  <si>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</si>
  <si>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</si>
  <si>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</si>
  <si>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</si>
  <si>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</si>
  <si>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</si>
  <si>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</si>
  <si>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</si>
  <si>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</si>
  <si>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</si>
  <si>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</si>
  <si>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</si>
  <si>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</si>
  <si>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</si>
  <si>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</si>
  <si>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</si>
  <si>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</si>
  <si>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</si>
  <si>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Local Capacity Area:</t>
  </si>
  <si>
    <t>Utility: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</si>
  <si>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</si>
  <si>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</si>
  <si>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</si>
  <si>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</si>
  <si>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</si>
  <si>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</si>
  <si>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</si>
  <si>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</si>
  <si>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</si>
  <si>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</si>
  <si>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</si>
  <si>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</si>
  <si>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</si>
  <si>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</si>
  <si>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</si>
  <si>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</si>
  <si>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</si>
  <si>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</si>
  <si>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</si>
  <si>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</si>
  <si>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</si>
  <si>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</si>
  <si>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</si>
  <si>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</si>
  <si>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</si>
  <si>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</si>
  <si>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</si>
  <si>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</si>
  <si>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</si>
  <si>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</si>
  <si>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</si>
  <si>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</si>
  <si>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</si>
  <si>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</si>
  <si>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</si>
  <si>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</si>
  <si>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</si>
  <si>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</si>
  <si>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</si>
  <si>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</si>
  <si>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</si>
  <si>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</si>
  <si>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</si>
  <si>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</si>
  <si>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</si>
  <si>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</si>
  <si>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</si>
  <si>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</si>
  <si>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</si>
  <si>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</si>
  <si>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</si>
  <si>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</si>
  <si>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</si>
  <si>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</si>
  <si>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</si>
  <si>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</si>
  <si>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</si>
  <si>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</si>
  <si>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</si>
  <si>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</si>
  <si>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</si>
  <si>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</si>
  <si>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</si>
  <si>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</si>
  <si>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</si>
  <si>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</si>
  <si>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</si>
  <si>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</si>
  <si>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</si>
  <si>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</si>
  <si>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</si>
  <si>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</si>
  <si>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</si>
  <si>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</si>
  <si>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</si>
  <si>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</si>
  <si>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</si>
  <si>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</si>
  <si>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</si>
  <si>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</si>
  <si>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</si>
  <si>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</si>
  <si>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</si>
  <si>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</si>
  <si>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</si>
  <si>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</si>
  <si>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</si>
  <si>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</si>
  <si>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</si>
  <si>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</si>
  <si>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</si>
  <si>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</si>
  <si>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</si>
  <si>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</si>
  <si>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</si>
  <si>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</si>
  <si>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</si>
  <si>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</si>
  <si>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</si>
  <si>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</si>
  <si>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</si>
  <si>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</si>
  <si>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</si>
  <si>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</si>
  <si>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</si>
  <si>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</si>
  <si>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</si>
  <si>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</si>
  <si>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</si>
  <si>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</si>
  <si>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</si>
  <si>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</si>
  <si>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</si>
  <si>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</si>
  <si>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</si>
  <si>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</si>
  <si>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</si>
  <si>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</si>
  <si>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</si>
  <si>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</si>
  <si>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</si>
  <si>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</si>
  <si>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</si>
  <si>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</si>
  <si>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</si>
  <si>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</si>
  <si>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</si>
  <si>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</si>
  <si>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</si>
  <si>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</si>
  <si>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</si>
  <si>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</si>
  <si>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</si>
  <si>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</si>
  <si>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</si>
  <si>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</si>
  <si>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</si>
  <si>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</si>
  <si>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</si>
  <si>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</si>
  <si>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</si>
  <si>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</si>
  <si>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</si>
  <si>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</si>
  <si>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</si>
  <si>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</si>
  <si>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</si>
  <si>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</si>
  <si>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</si>
  <si>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</si>
  <si>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</si>
  <si>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</si>
  <si>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</si>
  <si>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</si>
  <si>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</si>
  <si>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</si>
  <si>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</si>
  <si>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</si>
  <si>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</si>
  <si>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</si>
  <si>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</si>
  <si>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</si>
  <si>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</si>
  <si>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</si>
  <si>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</si>
  <si>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</si>
  <si>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</si>
  <si>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</si>
  <si>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</si>
  <si>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</si>
  <si>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</si>
  <si>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</si>
  <si>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</si>
  <si>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</si>
  <si>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</si>
  <si>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</si>
  <si>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</si>
  <si>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Retail stores</t>
  </si>
  <si>
    <t>Schools</t>
  </si>
  <si>
    <t>Wholesale, Transport, other utilities</t>
  </si>
  <si>
    <t>lca</t>
  </si>
  <si>
    <t>No</t>
  </si>
  <si>
    <t>Yes</t>
  </si>
  <si>
    <t>date</t>
  </si>
  <si>
    <t>Date</t>
  </si>
  <si>
    <t>Industry</t>
  </si>
  <si>
    <t>Dual Enrolled</t>
  </si>
  <si>
    <t>Results Type</t>
  </si>
  <si>
    <t>Average per Called Customer</t>
  </si>
  <si>
    <t>product</t>
  </si>
  <si>
    <t>evt_start</t>
  </si>
  <si>
    <t>evt_end</t>
  </si>
  <si>
    <t>Event Hours</t>
  </si>
  <si>
    <t>By Period:</t>
  </si>
  <si>
    <t>Event Hours: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</si>
  <si>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</si>
  <si>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</si>
  <si>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</si>
  <si>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</si>
  <si>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</si>
  <si>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</si>
  <si>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</si>
  <si>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</si>
  <si>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</si>
  <si>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</si>
  <si>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</si>
  <si>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</si>
  <si>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enrolled</t>
  </si>
  <si>
    <t xml:space="preserve"> Number of Accounts Enrolled:</t>
  </si>
  <si>
    <t>Enrollment</t>
  </si>
  <si>
    <t>LA Basin</t>
  </si>
  <si>
    <t>Outside Basin</t>
  </si>
  <si>
    <t>Ventura</t>
  </si>
  <si>
    <t>Southern California Edison</t>
  </si>
  <si>
    <t>Average Event Hour % Load Impact:</t>
  </si>
  <si>
    <t>Bid</t>
  </si>
  <si>
    <t>Base Interruptible Program (BIP)</t>
  </si>
  <si>
    <t>Number of Accounts Called:</t>
  </si>
  <si>
    <t>fsl</t>
  </si>
  <si>
    <t>_pass</t>
  </si>
  <si>
    <t>bid</t>
  </si>
  <si>
    <t>pass</t>
  </si>
  <si>
    <t>stderr_evt_hr</t>
  </si>
  <si>
    <t>active results</t>
  </si>
  <si>
    <t>se in mwh</t>
  </si>
  <si>
    <t>se per cust in kwh</t>
  </si>
  <si>
    <t>* Though all hours partially included in the event period are highlighted, event-hour summary measures reflect only the hour, 15, fully included in the event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</si>
</sst>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409]mmmm\ d\,\ yyyy;@"/>
    <numFmt numFmtId="166" formatCode="0.0%"/>
    <numFmt numFmtId="167" formatCode="0.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56"/>
      </left>
      <right style="medium">
        <color indexed="9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wrapText="1" indent="1"/>
    </xf>
    <xf numFmtId="0" fontId="10" fillId="2" borderId="3" xfId="0" applyFont="1" applyFill="1" applyBorder="1" applyAlignment="1">
      <alignment horizontal="right" wrapText="1" indent="1"/>
    </xf>
    <xf numFmtId="49" fontId="9" fillId="0" borderId="0" xfId="0" applyNumberFormat="1" applyFont="1" applyBorder="1" applyAlignment="1">
      <alignment horizontal="left" wrapText="1"/>
    </xf>
    <xf numFmtId="0" fontId="8" fillId="0" borderId="0" xfId="0" applyFont="1"/>
    <xf numFmtId="0" fontId="12" fillId="0" borderId="0" xfId="0" applyFont="1" applyBorder="1" applyAlignment="1">
      <alignment horizontal="left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1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3" fontId="0" fillId="0" borderId="0" xfId="0" applyNumberFormat="1"/>
    <xf numFmtId="0" fontId="14" fillId="2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2" borderId="1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Continuous"/>
    </xf>
    <xf numFmtId="0" fontId="0" fillId="0" borderId="0" xfId="0" applyBorder="1"/>
    <xf numFmtId="49" fontId="9" fillId="0" borderId="1" xfId="0" quotePrefix="1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8" fillId="0" borderId="0" xfId="0" quotePrefix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3" fontId="0" fillId="0" borderId="17" xfId="0" applyNumberFormat="1" applyBorder="1" applyAlignment="1">
      <alignment horizontal="center" vertical="center"/>
    </xf>
    <xf numFmtId="164" fontId="0" fillId="0" borderId="0" xfId="0" applyNumberFormat="1"/>
    <xf numFmtId="166" fontId="0" fillId="0" borderId="0" xfId="1" applyNumberFormat="1" applyFont="1"/>
    <xf numFmtId="0" fontId="1" fillId="0" borderId="0" xfId="0" applyFont="1"/>
    <xf numFmtId="0" fontId="1" fillId="0" borderId="0" xfId="0" quotePrefix="1" applyFont="1" applyFill="1" applyBorder="1" applyAlignment="1">
      <alignment horizontal="left"/>
    </xf>
    <xf numFmtId="164" fontId="4" fillId="0" borderId="0" xfId="0" applyNumberFormat="1" applyFont="1" applyBorder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Fill="1" applyBorder="1" applyAlignment="1">
      <alignment horizontal="left" vertical="center"/>
    </xf>
    <xf numFmtId="164" fontId="11" fillId="0" borderId="20" xfId="0" applyNumberFormat="1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5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11" fontId="0" fillId="0" borderId="0" xfId="0" applyNumberFormat="1"/>
    <xf numFmtId="15" fontId="0" fillId="0" borderId="0" xfId="0" applyNumberFormat="1"/>
    <xf numFmtId="0" fontId="0" fillId="0" borderId="0" xfId="0" quotePrefix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4" fillId="0" borderId="0" xfId="0" quotePrefix="1" applyFont="1" applyAlignment="1">
      <alignment horizontal="left"/>
    </xf>
    <xf numFmtId="164" fontId="11" fillId="0" borderId="8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9" fillId="0" borderId="0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167" fontId="4" fillId="0" borderId="0" xfId="0" applyNumberFormat="1" applyFont="1" applyAlignment="1">
      <alignment horizontal="right"/>
    </xf>
    <xf numFmtId="0" fontId="1" fillId="0" borderId="0" xfId="0" quotePrefix="1" applyFont="1" applyAlignment="1">
      <alignment horizontal="left"/>
    </xf>
    <xf numFmtId="2" fontId="5" fillId="2" borderId="5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2" fontId="5" fillId="2" borderId="5" xfId="0" quotePrefix="1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8" xfId="0" quotePrefix="1" applyFont="1" applyFill="1" applyBorder="1" applyAlignment="1">
      <alignment horizontal="center" wrapText="1"/>
    </xf>
    <xf numFmtId="164" fontId="1" fillId="0" borderId="0" xfId="0" applyNumberFormat="1" applyFont="1"/>
  </cellXfs>
  <cellStyles count="2">
    <cellStyle name="Normal" xfId="0" builtinId="0"/>
    <cellStyle name="Percent" xfId="1" builtinId="5"/>
  </cellStyles>
  <dxfs count="4">
    <dxf>
      <fill>
        <patternFill>
          <bgColor theme="3" tint="0.79998168889431442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769.63679999999999</c:v>
                </c:pt>
                <c:pt idx="1">
                  <c:v>765.87070000000006</c:v>
                </c:pt>
                <c:pt idx="2">
                  <c:v>763.19010000000003</c:v>
                </c:pt>
                <c:pt idx="3">
                  <c:v>770.06809999999996</c:v>
                </c:pt>
                <c:pt idx="4">
                  <c:v>789.79600000000005</c:v>
                </c:pt>
                <c:pt idx="5">
                  <c:v>828.56539999999995</c:v>
                </c:pt>
                <c:pt idx="6">
                  <c:v>871.20989999999995</c:v>
                </c:pt>
                <c:pt idx="7">
                  <c:v>889.71960000000001</c:v>
                </c:pt>
                <c:pt idx="8">
                  <c:v>895.31510000000003</c:v>
                </c:pt>
                <c:pt idx="9">
                  <c:v>902.42989999999998</c:v>
                </c:pt>
                <c:pt idx="10">
                  <c:v>904.24959999999999</c:v>
                </c:pt>
                <c:pt idx="11">
                  <c:v>893.77359999999999</c:v>
                </c:pt>
                <c:pt idx="12">
                  <c:v>886.01859999999999</c:v>
                </c:pt>
                <c:pt idx="13">
                  <c:v>874.53809999999999</c:v>
                </c:pt>
                <c:pt idx="14">
                  <c:v>864.09640000000002</c:v>
                </c:pt>
                <c:pt idx="15">
                  <c:v>853.23410000000001</c:v>
                </c:pt>
                <c:pt idx="16">
                  <c:v>842.16669999999999</c:v>
                </c:pt>
                <c:pt idx="17">
                  <c:v>826.20870000000002</c:v>
                </c:pt>
                <c:pt idx="18">
                  <c:v>828.66980000000001</c:v>
                </c:pt>
                <c:pt idx="19">
                  <c:v>831.55679999999995</c:v>
                </c:pt>
                <c:pt idx="20">
                  <c:v>833.23929999999996</c:v>
                </c:pt>
                <c:pt idx="21">
                  <c:v>813.5027</c:v>
                </c:pt>
                <c:pt idx="22">
                  <c:v>796.65210000000002</c:v>
                </c:pt>
                <c:pt idx="23">
                  <c:v>785.80920000000003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36-4A70-A58A-BEB0D5F9FEE4}"/>
            </c:ext>
          </c:extLst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764.52060099999994</c:v>
                </c:pt>
                <c:pt idx="1">
                  <c:v>764.06841800000007</c:v>
                </c:pt>
                <c:pt idx="2">
                  <c:v>759.60372000000007</c:v>
                </c:pt>
                <c:pt idx="3">
                  <c:v>766.67545199999995</c:v>
                </c:pt>
                <c:pt idx="4">
                  <c:v>786.73354600000005</c:v>
                </c:pt>
                <c:pt idx="5">
                  <c:v>818.37986000000001</c:v>
                </c:pt>
                <c:pt idx="6">
                  <c:v>878.49323299999992</c:v>
                </c:pt>
                <c:pt idx="7">
                  <c:v>885.25654800000007</c:v>
                </c:pt>
                <c:pt idx="8">
                  <c:v>900.80630100000008</c:v>
                </c:pt>
                <c:pt idx="9">
                  <c:v>902.42206490000001</c:v>
                </c:pt>
                <c:pt idx="10">
                  <c:v>912.48903899999993</c:v>
                </c:pt>
                <c:pt idx="11">
                  <c:v>910.82480999999996</c:v>
                </c:pt>
                <c:pt idx="12">
                  <c:v>885.86800270000003</c:v>
                </c:pt>
                <c:pt idx="13">
                  <c:v>351.77699999999993</c:v>
                </c:pt>
                <c:pt idx="14">
                  <c:v>172.03449999999998</c:v>
                </c:pt>
                <c:pt idx="15">
                  <c:v>229.50980000000004</c:v>
                </c:pt>
                <c:pt idx="16">
                  <c:v>458.5899</c:v>
                </c:pt>
                <c:pt idx="17">
                  <c:v>565.1739</c:v>
                </c:pt>
                <c:pt idx="18">
                  <c:v>658.87120000000004</c:v>
                </c:pt>
                <c:pt idx="19">
                  <c:v>727.35050000000001</c:v>
                </c:pt>
                <c:pt idx="20">
                  <c:v>742.08715999999993</c:v>
                </c:pt>
                <c:pt idx="21">
                  <c:v>731.03276000000005</c:v>
                </c:pt>
                <c:pt idx="22">
                  <c:v>724.83875999999998</c:v>
                </c:pt>
                <c:pt idx="23">
                  <c:v>716.90650000000005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36-4A70-A58A-BEB0D5F9FEE4}"/>
            </c:ext>
          </c:extLst>
        </c:ser>
        <c:ser>
          <c:idx val="1"/>
          <c:order val="2"/>
          <c:tx>
            <c:strRef>
              <c:f>Table!$I$2</c:f>
              <c:strCache>
                <c:ptCount val="1"/>
                <c:pt idx="0">
                  <c:v>Firm Service Level in MW</c:v>
                </c:pt>
              </c:strCache>
            </c:strRef>
          </c:tx>
          <c:marker>
            <c:symbol val="none"/>
          </c:marker>
          <c:xVal>
            <c:numRef>
              <c:f>(Table!$E$8,Table!$E$31)</c:f>
              <c:numCache>
                <c:formatCode>General</c:formatCode>
                <c:ptCount val="2"/>
                <c:pt idx="0">
                  <c:v>1</c:v>
                </c:pt>
                <c:pt idx="1">
                  <c:v>24</c:v>
                </c:pt>
              </c:numCache>
            </c:numRef>
          </c:xVal>
          <c:yVal>
            <c:numRef>
              <c:f>(Table!$J$2,Table!$J$2)</c:f>
              <c:numCache>
                <c:formatCode>0.0</c:formatCode>
                <c:ptCount val="2"/>
                <c:pt idx="0">
                  <c:v>93.259</c:v>
                </c:pt>
                <c:pt idx="1">
                  <c:v>93.259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36-4A70-A58A-BEB0D5F9F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220368"/>
        <c:axId val="365219248"/>
      </c:scatterChart>
      <c:valAx>
        <c:axId val="365220368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219248"/>
        <c:crosses val="autoZero"/>
        <c:crossBetween val="midCat"/>
        <c:majorUnit val="1"/>
      </c:valAx>
      <c:valAx>
        <c:axId val="3652192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22036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09447692782615"/>
          <c:y val="1.6442160486542699E-2"/>
          <c:w val="0.67878085505175567"/>
          <c:h val="0.11567704690948924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22411</xdr:rowOff>
    </xdr:from>
    <xdr:to>
      <xdr:col>3</xdr:col>
      <xdr:colOff>628650</xdr:colOff>
      <xdr:row>34</xdr:row>
      <xdr:rowOff>175933</xdr:rowOff>
    </xdr:to>
    <xdr:graphicFrame macro="">
      <xdr:nvGraphicFramePr>
        <xdr:cNvPr id="1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able_for_PGE CBP_expost_private" growShrinkType="overwriteClea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27" bestFit="1" customWidth="1"/>
    <col min="2" max="2" width="31.5703125" customWidth="1"/>
    <col min="3" max="3" width="24" customWidth="1"/>
    <col min="4" max="4" width="10.28515625" customWidth="1"/>
    <col min="5" max="5" width="17.85546875" customWidth="1"/>
    <col min="6" max="6" width="16.140625" customWidth="1"/>
    <col min="7" max="7" width="13.28515625" customWidth="1"/>
    <col min="8" max="8" width="13" customWidth="1"/>
    <col min="9" max="9" width="15.5703125" customWidth="1"/>
    <col min="10" max="14" width="11.42578125" customWidth="1"/>
    <col min="16" max="16" width="9.140625" customWidth="1"/>
  </cols>
  <sheetData>
    <row r="1" spans="1:14" ht="17.25" customHeight="1" thickBot="1" x14ac:dyDescent="0.3">
      <c r="A1" s="2" t="str">
        <f>IF(pass=1,"","Results omitted due to confidentiality concerns.")</f>
        <v/>
      </c>
      <c r="B1" s="2"/>
      <c r="C1" s="2"/>
      <c r="I1" s="3"/>
      <c r="J1" s="3"/>
      <c r="K1" s="43"/>
      <c r="L1" s="45"/>
    </row>
    <row r="2" spans="1:14" ht="17.25" customHeight="1" thickTop="1" thickBot="1" x14ac:dyDescent="0.3">
      <c r="A2" s="36" t="s">
        <v>19</v>
      </c>
      <c r="B2" s="7" t="s">
        <v>233</v>
      </c>
      <c r="C2" s="5"/>
      <c r="D2" s="5"/>
      <c r="F2" s="4" t="s">
        <v>237</v>
      </c>
      <c r="G2" s="38">
        <f>IF(pass=0,"n/a",DGET(data,"bid",_xlnm.Criteria))</f>
        <v>610</v>
      </c>
      <c r="I2" s="3" t="str">
        <f>"Firm Service Level in "&amp;IF(Result_type="Aggregate Impact","MW","kW")</f>
        <v>Firm Service Level in MW</v>
      </c>
      <c r="J2" s="71">
        <f>IF(pass=0,"n/a", DGET(data,"FSL",_xlnm.Criteria)*IF(Result_type="Aggregate Impact",1,1000/Bid) )</f>
        <v>93.259</v>
      </c>
      <c r="K2" s="43"/>
      <c r="L2" s="45"/>
    </row>
    <row r="3" spans="1:14" ht="17.25" customHeight="1" thickTop="1" thickBot="1" x14ac:dyDescent="0.3">
      <c r="A3" s="37" t="s">
        <v>10</v>
      </c>
      <c r="B3" s="34" t="s">
        <v>236</v>
      </c>
      <c r="C3" s="5"/>
      <c r="D3" s="5"/>
      <c r="F3" s="3" t="s">
        <v>228</v>
      </c>
      <c r="G3" s="38">
        <f>IF(pass=0,"n/a",DGET(data,"enrolled",_xlnm.Criteria))</f>
        <v>610</v>
      </c>
      <c r="I3" s="3" t="s">
        <v>214</v>
      </c>
      <c r="J3" s="59" t="str">
        <f>IF(ISNA(VLOOKUP(date,Lookups!$B$11:$F$16,5,FALSE)),"n/a",VLOOKUP(date,Lookups!$B$11:$F$16,5,FALSE))</f>
        <v>Hours Ending 14 to 16</v>
      </c>
      <c r="K3" s="44"/>
    </row>
    <row r="4" spans="1:14" ht="17.25" customHeight="1" thickBot="1" x14ac:dyDescent="0.25">
      <c r="A4" s="36" t="s">
        <v>20</v>
      </c>
      <c r="B4" s="7" t="s">
        <v>3</v>
      </c>
      <c r="C4" s="5"/>
      <c r="D4" s="5"/>
    </row>
    <row r="5" spans="1:14" ht="17.25" customHeight="1" thickBot="1" x14ac:dyDescent="0.3">
      <c r="A5" s="36" t="s">
        <v>21</v>
      </c>
      <c r="B5" s="13" t="s">
        <v>2</v>
      </c>
      <c r="C5" s="5"/>
      <c r="D5" s="5"/>
      <c r="E5" s="76" t="s">
        <v>4</v>
      </c>
      <c r="F5" s="76" t="str">
        <f>"Estimated Reference Load ("&amp;IF(Result_type="Aggregate impact","MWh","kWh")&amp;"/hour)"</f>
        <v>Estimated Reference Load (MWh/hour)</v>
      </c>
      <c r="G5" s="76" t="str">
        <f>"Observed Event Day Load ("&amp;IF(Result_type="Aggregate Impact","MWh/hour)","kWh/hour)")</f>
        <v>Observed Event Day Load (MWh/hour)</v>
      </c>
      <c r="H5" s="76" t="str">
        <f>"Estimated Load Impact ("&amp;IF(Result_type="Aggregate Impact","MWh/hour)","kWh/hour)")</f>
        <v>Estimated Load Impact (MWh/hour)</v>
      </c>
      <c r="I5" s="79" t="s">
        <v>166</v>
      </c>
      <c r="J5" s="30"/>
      <c r="K5" s="31"/>
      <c r="L5" s="31"/>
      <c r="M5" s="31"/>
      <c r="N5" s="32"/>
    </row>
    <row r="6" spans="1:14" ht="17.25" customHeight="1" thickBot="1" x14ac:dyDescent="0.35">
      <c r="C6" s="5"/>
      <c r="D6" s="5"/>
      <c r="E6" s="77"/>
      <c r="F6" s="77"/>
      <c r="G6" s="77"/>
      <c r="H6" s="77"/>
      <c r="I6" s="77"/>
      <c r="J6" s="50" t="str">
        <f>"Uncertainty Adjusted Impact ("&amp;IF(Result_type="Aggregate Impact","MWh/hr)- Percentiles","kWh/hr)- Percentiles")</f>
        <v>Uncertainty Adjusted Impact (MWh/hr)- Percentiles</v>
      </c>
      <c r="K6" s="51"/>
      <c r="L6" s="51"/>
      <c r="M6" s="51"/>
      <c r="N6" s="52"/>
    </row>
    <row r="7" spans="1:14" ht="39" customHeight="1" thickBot="1" x14ac:dyDescent="0.25">
      <c r="C7" s="5"/>
      <c r="D7" s="5"/>
      <c r="E7" s="78"/>
      <c r="F7" s="78"/>
      <c r="G7" s="78"/>
      <c r="H7" s="78"/>
      <c r="I7" s="78"/>
      <c r="J7" s="8" t="s">
        <v>5</v>
      </c>
      <c r="K7" s="8" t="s">
        <v>6</v>
      </c>
      <c r="L7" s="8" t="s">
        <v>7</v>
      </c>
      <c r="M7" s="8" t="s">
        <v>8</v>
      </c>
      <c r="N7" s="9" t="s">
        <v>9</v>
      </c>
    </row>
    <row r="8" spans="1:14" ht="17.25" customHeight="1" thickBot="1" x14ac:dyDescent="0.25">
      <c r="A8" s="37" t="s">
        <v>18</v>
      </c>
      <c r="B8" s="67" t="s">
        <v>1</v>
      </c>
      <c r="C8" s="10"/>
      <c r="D8" s="10"/>
      <c r="E8" s="35">
        <v>1</v>
      </c>
      <c r="F8" s="49">
        <f>IF(pass=0,"n/a",DGET(data,"Ref_hr1",_xlnm.Criteria)/IF(Result_type="Aggregate Impact",1,Bid/1000))</f>
        <v>769.63679999999999</v>
      </c>
      <c r="G8" s="49">
        <f>IF(pass=0,"n/a",F8-H8)</f>
        <v>764.52060099999994</v>
      </c>
      <c r="H8" s="49">
        <f>IF(pass=0,"n/a",DGET(data,"Pctile50_hr1",_xlnm.Criteria)/IF(Result_type="Aggregate Impact",1,Bid/1000))</f>
        <v>5.1161989999999999</v>
      </c>
      <c r="I8" s="49">
        <f>IF(pass=0,"n/a",DGET(data,"Temp_hr1",_xlnm.Criteria))</f>
        <v>73.36636</v>
      </c>
      <c r="J8" s="49">
        <f>IF(pass=0,"n/a",DGET(data,"Pctile10_hr1",_xlnm.Criteria)/IF(Result_type="Aggregate Impact",1,Bid/1000))</f>
        <v>2.1266579999999999</v>
      </c>
      <c r="K8" s="49">
        <f>IF(pass=0,"n/a",DGET(data,"Pctile30_hr1",_xlnm.Criteria)/IF(Result_type="Aggregate Impact",1,Bid/1000))</f>
        <v>3.892903</v>
      </c>
      <c r="L8" s="49">
        <f>H8</f>
        <v>5.1161989999999999</v>
      </c>
      <c r="M8" s="49">
        <f>IF(pass=0,"n/a",DGET(data,"Pctile70_hr1",_xlnm.Criteria)/IF(Result_type="Aggregate Impact",1,Bid/1000))</f>
        <v>6.3394950000000003</v>
      </c>
      <c r="N8" s="49">
        <f>IF(pass=0,"n/a",DGET(data,"Pctile90_hr1",_xlnm.Criteria)/IF(Result_type="Aggregate Impact",1,Bid/1000))</f>
        <v>8.1057410000000001</v>
      </c>
    </row>
    <row r="9" spans="1:14" ht="17.25" customHeight="1" x14ac:dyDescent="0.2">
      <c r="C9" s="12"/>
      <c r="D9" s="12"/>
      <c r="E9" s="35">
        <v>2</v>
      </c>
      <c r="F9" s="49">
        <f>IF(pass=0,"n/a",DGET(data,"Ref_hr2",_xlnm.Criteria)/IF(Result_type="Aggregate Impact",1,Bid/1000))</f>
        <v>765.87070000000006</v>
      </c>
      <c r="G9" s="49">
        <f>IF(pass=0,"n/a",F9-H9)</f>
        <v>764.06841800000007</v>
      </c>
      <c r="H9" s="49">
        <f>IF(pass=0,"n/a",DGET(data,"Pctile50_hr2",_xlnm.Criteria)/IF(Result_type="Aggregate Impact",1,Bid/1000))</f>
        <v>1.8022819999999999</v>
      </c>
      <c r="I9" s="49">
        <f>IF(pass=0,"n/a",DGET(data,"Temp_hr2",_xlnm.Criteria))</f>
        <v>71.771289999999993</v>
      </c>
      <c r="J9" s="49">
        <f>IF(pass=0,"n/a",DGET(data,"Pctile10_hr2",_xlnm.Criteria)/IF(Result_type="Aggregate Impact",1,Bid/1000))</f>
        <v>-1.107553</v>
      </c>
      <c r="K9" s="49">
        <f>IF(pass=0,"n/a",DGET(data,"Pctile30_hr2",_xlnm.Criteria)/IF(Result_type="Aggregate Impact",1,Bid/1000))</f>
        <v>0.61160110000000001</v>
      </c>
      <c r="L9" s="49">
        <f t="shared" ref="L9:L31" si="0">H9</f>
        <v>1.8022819999999999</v>
      </c>
      <c r="M9" s="49">
        <f>IF(pass=0,"n/a",DGET(data,"Pctile70_hr2",_xlnm.Criteria)/IF(Result_type="Aggregate Impact",1,Bid/1000))</f>
        <v>2.992963</v>
      </c>
      <c r="N9" s="49">
        <f>IF(pass=0,"n/a",DGET(data,"Pctile90_hr2",_xlnm.Criteria)/IF(Result_type="Aggregate Impact",1,Bid/1000))</f>
        <v>4.7121180000000003</v>
      </c>
    </row>
    <row r="10" spans="1:14" ht="17.25" customHeight="1" x14ac:dyDescent="0.2">
      <c r="C10" s="14"/>
      <c r="D10" s="14"/>
      <c r="E10" s="35">
        <v>3</v>
      </c>
      <c r="F10" s="49">
        <f>IF(pass=0,"n/a",DGET(data,"Ref_hr3",_xlnm.Criteria)/IF(Result_type="Aggregate Impact",1,Bid/1000))</f>
        <v>763.19010000000003</v>
      </c>
      <c r="G10" s="49">
        <f>IF(pass=0,"n/a",F10-H10)</f>
        <v>759.60372000000007</v>
      </c>
      <c r="H10" s="49">
        <f>IF(pass=0,"n/a",DGET(data,"Pctile50_hr3",_xlnm.Criteria)/IF(Result_type="Aggregate Impact",1,Bid/1000))</f>
        <v>3.5863800000000001</v>
      </c>
      <c r="I10" s="49">
        <f>IF(pass=0,"n/a",DGET(data,"Temp_hr3",_xlnm.Criteria))</f>
        <v>70.72</v>
      </c>
      <c r="J10" s="49">
        <f>IF(pass=0,"n/a",DGET(data,"Pctile10_hr3",_xlnm.Criteria)/IF(Result_type="Aggregate Impact",1,Bid/1000))</f>
        <v>0.83484349999999996</v>
      </c>
      <c r="K10" s="49">
        <f>IF(pass=0,"n/a",DGET(data,"Pctile30_hr3",_xlnm.Criteria)/IF(Result_type="Aggregate Impact",1,Bid/1000))</f>
        <v>2.460474</v>
      </c>
      <c r="L10" s="49">
        <f t="shared" si="0"/>
        <v>3.5863800000000001</v>
      </c>
      <c r="M10" s="49">
        <f>IF(pass=0,"n/a",DGET(data,"Pctile70_hr3",_xlnm.Criteria)/IF(Result_type="Aggregate Impact",1,Bid/1000))</f>
        <v>4.7122859999999998</v>
      </c>
      <c r="N10" s="49">
        <f>IF(pass=0,"n/a",DGET(data,"Pctile90_hr3",_xlnm.Criteria)/IF(Result_type="Aggregate Impact",1,Bid/1000))</f>
        <v>6.3379159999999999</v>
      </c>
    </row>
    <row r="11" spans="1:14" ht="17.25" customHeight="1" x14ac:dyDescent="0.2">
      <c r="A11" s="48"/>
      <c r="B11" s="66"/>
      <c r="C11" s="15"/>
      <c r="D11" s="15"/>
      <c r="E11" s="35">
        <v>4</v>
      </c>
      <c r="F11" s="49">
        <f>IF(pass=0,"n/a",DGET(data,"Ref_hr4",_xlnm.Criteria)/IF(Result_type="Aggregate Impact",1,Bid/1000))</f>
        <v>770.06809999999996</v>
      </c>
      <c r="G11" s="49">
        <f>IF(pass=0,"n/a",F11-H11)</f>
        <v>766.67545199999995</v>
      </c>
      <c r="H11" s="49">
        <f>IF(pass=0,"n/a",DGET(data,"Pctile50_hr4",_xlnm.Criteria)/IF(Result_type="Aggregate Impact",1,Bid/1000))</f>
        <v>3.3926479999999999</v>
      </c>
      <c r="I11" s="49">
        <f>IF(pass=0,"n/a",DGET(data,"Temp_hr4",_xlnm.Criteria))</f>
        <v>70.110460000000003</v>
      </c>
      <c r="J11" s="49">
        <f>IF(pass=0,"n/a",DGET(data,"Pctile10_hr4",_xlnm.Criteria)/IF(Result_type="Aggregate Impact",1,Bid/1000))</f>
        <v>0.61190180000000005</v>
      </c>
      <c r="K11" s="49">
        <f>IF(pass=0,"n/a",DGET(data,"Pctile30_hr4",_xlnm.Criteria)/IF(Result_type="Aggregate Impact",1,Bid/1000))</f>
        <v>2.2547890000000002</v>
      </c>
      <c r="L11" s="49">
        <f t="shared" si="0"/>
        <v>3.3926479999999999</v>
      </c>
      <c r="M11" s="49">
        <f>IF(pass=0,"n/a",DGET(data,"Pctile70_hr4",_xlnm.Criteria)/IF(Result_type="Aggregate Impact",1,Bid/1000))</f>
        <v>4.5305070000000001</v>
      </c>
      <c r="N11" s="49">
        <f>IF(pass=0,"n/a",DGET(data,"Pctile90_hr4",_xlnm.Criteria)/IF(Result_type="Aggregate Impact",1,Bid/1000))</f>
        <v>6.1733950000000002</v>
      </c>
    </row>
    <row r="12" spans="1:14" ht="17.25" customHeight="1" x14ac:dyDescent="0.2">
      <c r="C12" s="15"/>
      <c r="D12" s="15"/>
      <c r="E12" s="35">
        <v>5</v>
      </c>
      <c r="F12" s="49">
        <f>IF(pass=0,"n/a",DGET(data,"Ref_hr5",_xlnm.Criteria)/IF(Result_type="Aggregate Impact",1,Bid/1000))</f>
        <v>789.79600000000005</v>
      </c>
      <c r="G12" s="49">
        <f>IF(pass=0,"n/a",F12-H12)</f>
        <v>786.73354600000005</v>
      </c>
      <c r="H12" s="49">
        <f>IF(pass=0,"n/a",DGET(data,"Pctile50_hr5",_xlnm.Criteria)/IF(Result_type="Aggregate Impact",1,Bid/1000))</f>
        <v>3.0624539999999998</v>
      </c>
      <c r="I12" s="49">
        <f>IF(pass=0,"n/a",DGET(data,"Temp_hr5",_xlnm.Criteria))</f>
        <v>69.320430000000002</v>
      </c>
      <c r="J12" s="49">
        <f>IF(pass=0,"n/a",DGET(data,"Pctile10_hr5",_xlnm.Criteria)/IF(Result_type="Aggregate Impact",1,Bid/1000))</f>
        <v>3.7882199999999998E-2</v>
      </c>
      <c r="K12" s="49">
        <f>IF(pass=0,"n/a",DGET(data,"Pctile30_hr5",_xlnm.Criteria)/IF(Result_type="Aggregate Impact",1,Bid/1000))</f>
        <v>1.824824</v>
      </c>
      <c r="L12" s="49">
        <f t="shared" si="0"/>
        <v>3.0624539999999998</v>
      </c>
      <c r="M12" s="49">
        <f>IF(pass=0,"n/a",DGET(data,"Pctile70_hr5",_xlnm.Criteria)/IF(Result_type="Aggregate Impact",1,Bid/1000))</f>
        <v>4.300084</v>
      </c>
      <c r="N12" s="49">
        <f>IF(pass=0,"n/a",DGET(data,"Pctile90_hr5",_xlnm.Criteria)/IF(Result_type="Aggregate Impact",1,Bid/1000))</f>
        <v>6.0870249999999997</v>
      </c>
    </row>
    <row r="13" spans="1:14" ht="17.25" customHeight="1" x14ac:dyDescent="0.2">
      <c r="D13" s="5"/>
      <c r="E13" s="35">
        <v>6</v>
      </c>
      <c r="F13" s="49">
        <f>IF(pass=0,"n/a",DGET(data,"Ref_hr6",_xlnm.Criteria)/IF(Result_type="Aggregate Impact",1,Bid/1000))</f>
        <v>828.56539999999995</v>
      </c>
      <c r="G13" s="49">
        <f>IF(pass=0,"n/a",F13-H13)</f>
        <v>818.37986000000001</v>
      </c>
      <c r="H13" s="49">
        <f>IF(pass=0,"n/a",DGET(data,"Pctile50_hr6",_xlnm.Criteria)/IF(Result_type="Aggregate Impact",1,Bid/1000))</f>
        <v>10.18554</v>
      </c>
      <c r="I13" s="49">
        <f>IF(pass=0,"n/a",DGET(data,"Temp_hr6",_xlnm.Criteria))</f>
        <v>68.651849999999996</v>
      </c>
      <c r="J13" s="49">
        <f>IF(pass=0,"n/a",DGET(data,"Pctile10_hr6",_xlnm.Criteria)/IF(Result_type="Aggregate Impact",1,Bid/1000))</f>
        <v>6.5794600000000001</v>
      </c>
      <c r="K13" s="49">
        <f>IF(pass=0,"n/a",DGET(data,"Pctile30_hr6",_xlnm.Criteria)/IF(Result_type="Aggregate Impact",1,Bid/1000))</f>
        <v>8.7099630000000001</v>
      </c>
      <c r="L13" s="49">
        <f t="shared" si="0"/>
        <v>10.18554</v>
      </c>
      <c r="M13" s="49">
        <f>IF(pass=0,"n/a",DGET(data,"Pctile70_hr6",_xlnm.Criteria)/IF(Result_type="Aggregate Impact",1,Bid/1000))</f>
        <v>11.66112</v>
      </c>
      <c r="N13" s="49">
        <f>IF(pass=0,"n/a",DGET(data,"Pctile90_hr6",_xlnm.Criteria)/IF(Result_type="Aggregate Impact",1,Bid/1000))</f>
        <v>13.79163</v>
      </c>
    </row>
    <row r="14" spans="1:14" ht="16.5" x14ac:dyDescent="0.2">
      <c r="D14" s="5"/>
      <c r="E14" s="35">
        <v>7</v>
      </c>
      <c r="F14" s="49">
        <f>IF(pass=0,"n/a",DGET(data,"Ref_hr7",_xlnm.Criteria)/IF(Result_type="Aggregate Impact",1,Bid/1000))</f>
        <v>871.20989999999995</v>
      </c>
      <c r="G14" s="49">
        <f>IF(pass=0,"n/a",F14-H14)</f>
        <v>878.49323299999992</v>
      </c>
      <c r="H14" s="49">
        <f>IF(pass=0,"n/a",DGET(data,"Pctile50_hr7",_xlnm.Criteria)/IF(Result_type="Aggregate Impact",1,Bid/1000))</f>
        <v>-7.2833329999999998</v>
      </c>
      <c r="I14" s="49">
        <f>IF(pass=0,"n/a",DGET(data,"Temp_hr7",_xlnm.Criteria))</f>
        <v>68.210059999999999</v>
      </c>
      <c r="J14" s="49">
        <f>IF(pass=0,"n/a",DGET(data,"Pctile10_hr7",_xlnm.Criteria)/IF(Result_type="Aggregate Impact",1,Bid/1000))</f>
        <v>-10.91869</v>
      </c>
      <c r="K14" s="49">
        <f>IF(pass=0,"n/a",DGET(data,"Pctile30_hr7",_xlnm.Criteria)/IF(Result_type="Aggregate Impact",1,Bid/1000))</f>
        <v>-8.7708910000000007</v>
      </c>
      <c r="L14" s="49">
        <f t="shared" si="0"/>
        <v>-7.2833329999999998</v>
      </c>
      <c r="M14" s="49">
        <f>IF(pass=0,"n/a",DGET(data,"Pctile70_hr7",_xlnm.Criteria)/IF(Result_type="Aggregate Impact",1,Bid/1000))</f>
        <v>-5.7957749999999999</v>
      </c>
      <c r="N14" s="49">
        <f>IF(pass=0,"n/a",DGET(data,"Pctile90_hr7",_xlnm.Criteria)/IF(Result_type="Aggregate Impact",1,Bid/1000))</f>
        <v>-3.6479780000000002</v>
      </c>
    </row>
    <row r="15" spans="1:14" ht="16.5" x14ac:dyDescent="0.2">
      <c r="A15" s="16"/>
      <c r="C15" s="5"/>
      <c r="D15" s="5"/>
      <c r="E15" s="35">
        <v>8</v>
      </c>
      <c r="F15" s="49">
        <f>IF(pass=0,"n/a",DGET(data,"Ref_hr8",_xlnm.Criteria)/IF(Result_type="Aggregate Impact",1,Bid/1000))</f>
        <v>889.71960000000001</v>
      </c>
      <c r="G15" s="49">
        <f>IF(pass=0,"n/a",F15-H15)</f>
        <v>885.25654800000007</v>
      </c>
      <c r="H15" s="49">
        <f>IF(pass=0,"n/a",DGET(data,"Pctile50_hr8",_xlnm.Criteria)/IF(Result_type="Aggregate Impact",1,Bid/1000))</f>
        <v>4.4630520000000002</v>
      </c>
      <c r="I15" s="49">
        <f>IF(pass=0,"n/a",DGET(data,"Temp_hr8",_xlnm.Criteria))</f>
        <v>67.720759999999999</v>
      </c>
      <c r="J15" s="49">
        <f>IF(pass=0,"n/a",DGET(data,"Pctile10_hr8",_xlnm.Criteria)/IF(Result_type="Aggregate Impact",1,Bid/1000))</f>
        <v>1.101844</v>
      </c>
      <c r="K15" s="49">
        <f>IF(pass=0,"n/a",DGET(data,"Pctile30_hr8",_xlnm.Criteria)/IF(Result_type="Aggregate Impact",1,Bid/1000))</f>
        <v>3.0876730000000001</v>
      </c>
      <c r="L15" s="49">
        <f t="shared" si="0"/>
        <v>4.4630520000000002</v>
      </c>
      <c r="M15" s="49">
        <f>IF(pass=0,"n/a",DGET(data,"Pctile70_hr8",_xlnm.Criteria)/IF(Result_type="Aggregate Impact",1,Bid/1000))</f>
        <v>5.8384309999999999</v>
      </c>
      <c r="N15" s="49">
        <f>IF(pass=0,"n/a",DGET(data,"Pctile90_hr8",_xlnm.Criteria)/IF(Result_type="Aggregate Impact",1,Bid/1000))</f>
        <v>7.8242599999999998</v>
      </c>
    </row>
    <row r="16" spans="1:14" ht="16.5" x14ac:dyDescent="0.2">
      <c r="C16" s="5"/>
      <c r="D16" s="5"/>
      <c r="E16" s="35">
        <v>9</v>
      </c>
      <c r="F16" s="49">
        <f>IF(pass=0,"n/a",DGET(data,"Ref_hr9",_xlnm.Criteria)/IF(Result_type="Aggregate Impact",1,Bid/1000))</f>
        <v>895.31510000000003</v>
      </c>
      <c r="G16" s="49">
        <f>IF(pass=0,"n/a",F16-H16)</f>
        <v>900.80630100000008</v>
      </c>
      <c r="H16" s="49">
        <f>IF(pass=0,"n/a",DGET(data,"Pctile50_hr9",_xlnm.Criteria)/IF(Result_type="Aggregate Impact",1,Bid/1000))</f>
        <v>-5.4912010000000002</v>
      </c>
      <c r="I16" s="49">
        <f>IF(pass=0,"n/a",DGET(data,"Temp_hr9",_xlnm.Criteria))</f>
        <v>70.01858</v>
      </c>
      <c r="J16" s="49">
        <f>IF(pass=0,"n/a",DGET(data,"Pctile10_hr9",_xlnm.Criteria)/IF(Result_type="Aggregate Impact",1,Bid/1000))</f>
        <v>-9.1171539999999993</v>
      </c>
      <c r="K16" s="49">
        <f>IF(pass=0,"n/a",DGET(data,"Pctile30_hr9",_xlnm.Criteria)/IF(Result_type="Aggregate Impact",1,Bid/1000))</f>
        <v>-6.9749119999999998</v>
      </c>
      <c r="L16" s="49">
        <f t="shared" si="0"/>
        <v>-5.4912010000000002</v>
      </c>
      <c r="M16" s="49">
        <f>IF(pass=0,"n/a",DGET(data,"Pctile70_hr9",_xlnm.Criteria)/IF(Result_type="Aggregate Impact",1,Bid/1000))</f>
        <v>-4.0074909999999999</v>
      </c>
      <c r="N16" s="49">
        <f>IF(pass=0,"n/a",DGET(data,"Pctile90_hr9",_xlnm.Criteria)/IF(Result_type="Aggregate Impact",1,Bid/1000))</f>
        <v>-1.865248</v>
      </c>
    </row>
    <row r="17" spans="3:23" ht="16.5" x14ac:dyDescent="0.2">
      <c r="C17" s="5"/>
      <c r="D17" s="5"/>
      <c r="E17" s="35">
        <v>10</v>
      </c>
      <c r="F17" s="49">
        <f>IF(pass=0,"n/a",DGET(data,"Ref_hr10",_xlnm.Criteria)/IF(Result_type="Aggregate Impact",1,Bid/1000))</f>
        <v>902.42989999999998</v>
      </c>
      <c r="G17" s="49">
        <f>IF(pass=0,"n/a",F17-H17)</f>
        <v>902.42206490000001</v>
      </c>
      <c r="H17" s="49">
        <f>IF(pass=0,"n/a",DGET(data,"Pctile50_hr10",_xlnm.Criteria)/IF(Result_type="Aggregate Impact",1,Bid/1000))</f>
        <v>7.8350999999999994E-3</v>
      </c>
      <c r="I17" s="49">
        <f>IF(pass=0,"n/a",DGET(data,"Temp_hr10",_xlnm.Criteria))</f>
        <v>74.175899999999999</v>
      </c>
      <c r="J17" s="49">
        <f>IF(pass=0,"n/a",DGET(data,"Pctile10_hr10",_xlnm.Criteria)/IF(Result_type="Aggregate Impact",1,Bid/1000))</f>
        <v>-4.0317480000000003</v>
      </c>
      <c r="K17" s="49">
        <f>IF(pass=0,"n/a",DGET(data,"Pctile30_hr10",_xlnm.Criteria)/IF(Result_type="Aggregate Impact",1,Bid/1000))</f>
        <v>-1.64513</v>
      </c>
      <c r="L17" s="49">
        <f t="shared" si="0"/>
        <v>7.8350999999999994E-3</v>
      </c>
      <c r="M17" s="49">
        <f>IF(pass=0,"n/a",DGET(data,"Pctile70_hr10",_xlnm.Criteria)/IF(Result_type="Aggregate Impact",1,Bid/1000))</f>
        <v>1.6608000000000001</v>
      </c>
      <c r="N17" s="49">
        <f>IF(pass=0,"n/a",DGET(data,"Pctile90_hr10",_xlnm.Criteria)/IF(Result_type="Aggregate Impact",1,Bid/1000))</f>
        <v>4.0474180000000004</v>
      </c>
    </row>
    <row r="18" spans="3:23" ht="16.5" x14ac:dyDescent="0.2">
      <c r="C18" s="5"/>
      <c r="D18" s="5"/>
      <c r="E18" s="35">
        <v>11</v>
      </c>
      <c r="F18" s="49">
        <f>IF(pass=0,"n/a",DGET(data,"Ref_hr11",_xlnm.Criteria)/IF(Result_type="Aggregate Impact",1,Bid/1000))</f>
        <v>904.24959999999999</v>
      </c>
      <c r="G18" s="49">
        <f>IF(pass=0,"n/a",F18-H18)</f>
        <v>912.48903899999993</v>
      </c>
      <c r="H18" s="49">
        <f>IF(pass=0,"n/a",DGET(data,"Pctile50_hr11",_xlnm.Criteria)/IF(Result_type="Aggregate Impact",1,Bid/1000))</f>
        <v>-8.2394390000000008</v>
      </c>
      <c r="I18" s="49">
        <f>IF(pass=0,"n/a",DGET(data,"Temp_hr11",_xlnm.Criteria))</f>
        <v>78.978999999999999</v>
      </c>
      <c r="J18" s="49">
        <f>IF(pass=0,"n/a",DGET(data,"Pctile10_hr11",_xlnm.Criteria)/IF(Result_type="Aggregate Impact",1,Bid/1000))</f>
        <v>-12.586600000000001</v>
      </c>
      <c r="K18" s="49">
        <f>IF(pass=0,"n/a",DGET(data,"Pctile30_hr11",_xlnm.Criteria)/IF(Result_type="Aggregate Impact",1,Bid/1000))</f>
        <v>-10.01826</v>
      </c>
      <c r="L18" s="49">
        <f t="shared" si="0"/>
        <v>-8.2394390000000008</v>
      </c>
      <c r="M18" s="49">
        <f>IF(pass=0,"n/a",DGET(data,"Pctile70_hr11",_xlnm.Criteria)/IF(Result_type="Aggregate Impact",1,Bid/1000))</f>
        <v>-6.4606170000000001</v>
      </c>
      <c r="N18" s="49">
        <f>IF(pass=0,"n/a",DGET(data,"Pctile90_hr11",_xlnm.Criteria)/IF(Result_type="Aggregate Impact",1,Bid/1000))</f>
        <v>-3.8922810000000001</v>
      </c>
      <c r="S18" s="39"/>
      <c r="T18" s="39"/>
      <c r="U18" s="39"/>
      <c r="V18" s="39"/>
      <c r="W18" s="39"/>
    </row>
    <row r="19" spans="3:23" ht="16.5" x14ac:dyDescent="0.2">
      <c r="C19" s="5"/>
      <c r="D19" s="5"/>
      <c r="E19" s="35">
        <v>12</v>
      </c>
      <c r="F19" s="49">
        <f>IF(pass=0,"n/a",DGET(data,"Ref_hr12",_xlnm.Criteria)/IF(Result_type="Aggregate Impact",1,Bid/1000))</f>
        <v>893.77359999999999</v>
      </c>
      <c r="G19" s="49">
        <f>IF(pass=0,"n/a",F19-H19)</f>
        <v>910.82480999999996</v>
      </c>
      <c r="H19" s="49">
        <f>IF(pass=0,"n/a",DGET(data,"Pctile50_hr12",_xlnm.Criteria)/IF(Result_type="Aggregate Impact",1,Bid/1000))</f>
        <v>-17.051210000000001</v>
      </c>
      <c r="I19" s="49">
        <f>IF(pass=0,"n/a",DGET(data,"Temp_hr12",_xlnm.Criteria))</f>
        <v>83.938770000000005</v>
      </c>
      <c r="J19" s="49">
        <f>IF(pass=0,"n/a",DGET(data,"Pctile10_hr12",_xlnm.Criteria)/IF(Result_type="Aggregate Impact",1,Bid/1000))</f>
        <v>-21.889389999999999</v>
      </c>
      <c r="K19" s="49">
        <f>IF(pass=0,"n/a",DGET(data,"Pctile30_hr12",_xlnm.Criteria)/IF(Result_type="Aggregate Impact",1,Bid/1000))</f>
        <v>-19.030950000000001</v>
      </c>
      <c r="L19" s="49">
        <f t="shared" si="0"/>
        <v>-17.051210000000001</v>
      </c>
      <c r="M19" s="49">
        <f>IF(pass=0,"n/a",DGET(data,"Pctile70_hr12",_xlnm.Criteria)/IF(Result_type="Aggregate Impact",1,Bid/1000))</f>
        <v>-15.07146</v>
      </c>
      <c r="N19" s="49">
        <f>IF(pass=0,"n/a",DGET(data,"Pctile90_hr12",_xlnm.Criteria)/IF(Result_type="Aggregate Impact",1,Bid/1000))</f>
        <v>-12.21302</v>
      </c>
      <c r="S19" s="39"/>
      <c r="T19" s="39"/>
      <c r="U19" s="39"/>
      <c r="V19" s="39"/>
      <c r="W19" s="39"/>
    </row>
    <row r="20" spans="3:23" ht="16.5" x14ac:dyDescent="0.2">
      <c r="C20" s="5"/>
      <c r="D20" s="5"/>
      <c r="E20" s="35">
        <v>13</v>
      </c>
      <c r="F20" s="49">
        <f>IF(pass=0,"n/a",DGET(data,"Ref_hr13",_xlnm.Criteria)/IF(Result_type="Aggregate Impact",1,Bid/1000))</f>
        <v>886.01859999999999</v>
      </c>
      <c r="G20" s="49">
        <f>IF(pass=0,"n/a",F20-H20)</f>
        <v>885.86800270000003</v>
      </c>
      <c r="H20" s="49">
        <f>IF(pass=0,"n/a",DGET(data,"Pctile50_hr13",_xlnm.Criteria)/IF(Result_type="Aggregate Impact",1,Bid/1000))</f>
        <v>0.15059729999999999</v>
      </c>
      <c r="I20" s="49">
        <f>IF(pass=0,"n/a",DGET(data,"Temp_hr13",_xlnm.Criteria))</f>
        <v>87.815340000000006</v>
      </c>
      <c r="J20" s="49">
        <f>IF(pass=0,"n/a",DGET(data,"Pctile10_hr13",_xlnm.Criteria)/IF(Result_type="Aggregate Impact",1,Bid/1000))</f>
        <v>-5.1143989999999997</v>
      </c>
      <c r="K20" s="49">
        <f>IF(pass=0,"n/a",DGET(data,"Pctile30_hr13",_xlnm.Criteria)/IF(Result_type="Aggregate Impact",1,Bid/1000))</f>
        <v>-2.0037970000000001</v>
      </c>
      <c r="L20" s="49">
        <f t="shared" si="0"/>
        <v>0.15059729999999999</v>
      </c>
      <c r="M20" s="49">
        <f>IF(pass=0,"n/a",DGET(data,"Pctile70_hr13",_xlnm.Criteria)/IF(Result_type="Aggregate Impact",1,Bid/1000))</f>
        <v>2.3049909999999998</v>
      </c>
      <c r="N20" s="49">
        <f>IF(pass=0,"n/a",DGET(data,"Pctile90_hr13",_xlnm.Criteria)/IF(Result_type="Aggregate Impact",1,Bid/1000))</f>
        <v>5.4155939999999996</v>
      </c>
      <c r="S20" s="39"/>
      <c r="T20" s="39"/>
      <c r="U20" s="39"/>
      <c r="V20" s="39"/>
      <c r="W20" s="39"/>
    </row>
    <row r="21" spans="3:23" ht="16.5" x14ac:dyDescent="0.2">
      <c r="C21" s="5"/>
      <c r="D21" s="5"/>
      <c r="E21" s="35">
        <v>14</v>
      </c>
      <c r="F21" s="49">
        <f>IF(pass=0,"n/a",DGET(data,"Ref_hr14",_xlnm.Criteria)/IF(Result_type="Aggregate Impact",1,Bid/1000))</f>
        <v>874.53809999999999</v>
      </c>
      <c r="G21" s="49">
        <f>IF(pass=0,"n/a",F21-H21)</f>
        <v>351.77699999999993</v>
      </c>
      <c r="H21" s="49">
        <f>IF(pass=0,"n/a",DGET(data,"Pctile50_hr14",_xlnm.Criteria)/IF(Result_type="Aggregate Impact",1,Bid/1000))</f>
        <v>522.76110000000006</v>
      </c>
      <c r="I21" s="49">
        <f>IF(pass=0,"n/a",DGET(data,"Temp_hr14",_xlnm.Criteria))</f>
        <v>89.632230000000007</v>
      </c>
      <c r="J21" s="49">
        <f>IF(pass=0,"n/a",DGET(data,"Pctile10_hr14",_xlnm.Criteria)/IF(Result_type="Aggregate Impact",1,Bid/1000))</f>
        <v>517.5598</v>
      </c>
      <c r="K21" s="49">
        <f>IF(pass=0,"n/a",DGET(data,"Pctile30_hr14",_xlnm.Criteria)/IF(Result_type="Aggregate Impact",1,Bid/1000))</f>
        <v>520.63279999999997</v>
      </c>
      <c r="L21" s="49">
        <f t="shared" si="0"/>
        <v>522.76110000000006</v>
      </c>
      <c r="M21" s="49">
        <f>IF(pass=0,"n/a",DGET(data,"Pctile70_hr14",_xlnm.Criteria)/IF(Result_type="Aggregate Impact",1,Bid/1000))</f>
        <v>524.8895</v>
      </c>
      <c r="N21" s="49">
        <f>IF(pass=0,"n/a",DGET(data,"Pctile90_hr14",_xlnm.Criteria)/IF(Result_type="Aggregate Impact",1,Bid/1000))</f>
        <v>527.96249999999998</v>
      </c>
      <c r="S21" s="39"/>
      <c r="T21" s="39"/>
      <c r="U21" s="39"/>
      <c r="V21" s="39"/>
      <c r="W21" s="39"/>
    </row>
    <row r="22" spans="3:23" ht="16.5" x14ac:dyDescent="0.2">
      <c r="C22" s="5"/>
      <c r="D22" s="5"/>
      <c r="E22" s="35">
        <v>15</v>
      </c>
      <c r="F22" s="49">
        <f>IF(pass=0,"n/a",DGET(data,"Ref_hr15",_xlnm.Criteria)/IF(Result_type="Aggregate Impact",1,Bid/1000))</f>
        <v>864.09640000000002</v>
      </c>
      <c r="G22" s="49">
        <f>IF(pass=0,"n/a",F22-H22)</f>
        <v>172.03449999999998</v>
      </c>
      <c r="H22" s="49">
        <f>IF(pass=0,"n/a",DGET(data,"Pctile50_hr15",_xlnm.Criteria)/IF(Result_type="Aggregate Impact",1,Bid/1000))</f>
        <v>692.06190000000004</v>
      </c>
      <c r="I22" s="49">
        <f>IF(pass=0,"n/a",DGET(data,"Temp_hr15",_xlnm.Criteria))</f>
        <v>91.011470000000003</v>
      </c>
      <c r="J22" s="49">
        <f>IF(pass=0,"n/a",DGET(data,"Pctile10_hr15",_xlnm.Criteria)/IF(Result_type="Aggregate Impact",1,Bid/1000))</f>
        <v>686.53240000000005</v>
      </c>
      <c r="K22" s="49">
        <f>IF(pass=0,"n/a",DGET(data,"Pctile30_hr15",_xlnm.Criteria)/IF(Result_type="Aggregate Impact",1,Bid/1000))</f>
        <v>689.79930000000002</v>
      </c>
      <c r="L22" s="49">
        <f t="shared" si="0"/>
        <v>692.06190000000004</v>
      </c>
      <c r="M22" s="49">
        <f>IF(pass=0,"n/a",DGET(data,"Pctile70_hr15",_xlnm.Criteria)/IF(Result_type="Aggregate Impact",1,Bid/1000))</f>
        <v>694.32449999999994</v>
      </c>
      <c r="N22" s="49">
        <f>IF(pass=0,"n/a",DGET(data,"Pctile90_hr15",_xlnm.Criteria)/IF(Result_type="Aggregate Impact",1,Bid/1000))</f>
        <v>697.59140000000002</v>
      </c>
      <c r="S22" s="39"/>
      <c r="T22" s="39"/>
      <c r="U22" s="39"/>
      <c r="V22" s="39"/>
      <c r="W22" s="39"/>
    </row>
    <row r="23" spans="3:23" ht="16.5" x14ac:dyDescent="0.2">
      <c r="C23" s="5"/>
      <c r="D23" s="5"/>
      <c r="E23" s="35">
        <v>16</v>
      </c>
      <c r="F23" s="49">
        <f>IF(pass=0,"n/a",DGET(data,"Ref_hr16",_xlnm.Criteria)/IF(Result_type="Aggregate Impact",1,Bid/1000))</f>
        <v>853.23410000000001</v>
      </c>
      <c r="G23" s="49">
        <f>IF(pass=0,"n/a",F23-H23)</f>
        <v>229.50980000000004</v>
      </c>
      <c r="H23" s="49">
        <f>IF(pass=0,"n/a",DGET(data,"Pctile50_hr16",_xlnm.Criteria)/IF(Result_type="Aggregate Impact",1,Bid/1000))</f>
        <v>623.72429999999997</v>
      </c>
      <c r="I23" s="49">
        <f>IF(pass=0,"n/a",DGET(data,"Temp_hr16",_xlnm.Criteria))</f>
        <v>92.055279999999996</v>
      </c>
      <c r="J23" s="49">
        <f>IF(pass=0,"n/a",DGET(data,"Pctile10_hr16",_xlnm.Criteria)/IF(Result_type="Aggregate Impact",1,Bid/1000))</f>
        <v>618.02030000000002</v>
      </c>
      <c r="K23" s="49">
        <f>IF(pass=0,"n/a",DGET(data,"Pctile30_hr16",_xlnm.Criteria)/IF(Result_type="Aggregate Impact",1,Bid/1000))</f>
        <v>621.39030000000002</v>
      </c>
      <c r="L23" s="49">
        <f t="shared" si="0"/>
        <v>623.72429999999997</v>
      </c>
      <c r="M23" s="49">
        <f>IF(pass=0,"n/a",DGET(data,"Pctile70_hr16",_xlnm.Criteria)/IF(Result_type="Aggregate Impact",1,Bid/1000))</f>
        <v>626.05830000000003</v>
      </c>
      <c r="N23" s="49">
        <f>IF(pass=0,"n/a",DGET(data,"Pctile90_hr16",_xlnm.Criteria)/IF(Result_type="Aggregate Impact",1,Bid/1000))</f>
        <v>629.42830000000004</v>
      </c>
      <c r="S23" s="39"/>
      <c r="T23" s="39"/>
      <c r="U23" s="39"/>
      <c r="V23" s="39"/>
      <c r="W23" s="39"/>
    </row>
    <row r="24" spans="3:23" ht="16.5" x14ac:dyDescent="0.2">
      <c r="C24" s="5"/>
      <c r="D24" s="5"/>
      <c r="E24" s="35">
        <v>17</v>
      </c>
      <c r="F24" s="49">
        <f>IF(pass=0,"n/a",DGET(data,"Ref_hr17",_xlnm.Criteria)/IF(Result_type="Aggregate Impact",1,Bid/1000))</f>
        <v>842.16669999999999</v>
      </c>
      <c r="G24" s="49">
        <f>IF(pass=0,"n/a",F24-H24)</f>
        <v>458.5899</v>
      </c>
      <c r="H24" s="49">
        <f>IF(pass=0,"n/a",DGET(data,"Pctile50_hr17",_xlnm.Criteria)/IF(Result_type="Aggregate Impact",1,Bid/1000))</f>
        <v>383.57679999999999</v>
      </c>
      <c r="I24" s="49">
        <f>IF(pass=0,"n/a",DGET(data,"Temp_hr17",_xlnm.Criteria))</f>
        <v>92.517629999999997</v>
      </c>
      <c r="J24" s="49">
        <f>IF(pass=0,"n/a",DGET(data,"Pctile10_hr17",_xlnm.Criteria)/IF(Result_type="Aggregate Impact",1,Bid/1000))</f>
        <v>378.06610000000001</v>
      </c>
      <c r="K24" s="49">
        <f>IF(pass=0,"n/a",DGET(data,"Pctile30_hr17",_xlnm.Criteria)/IF(Result_type="Aggregate Impact",1,Bid/1000))</f>
        <v>381.32190000000003</v>
      </c>
      <c r="L24" s="49">
        <f t="shared" si="0"/>
        <v>383.57679999999999</v>
      </c>
      <c r="M24" s="49">
        <f>IF(pass=0,"n/a",DGET(data,"Pctile70_hr17",_xlnm.Criteria)/IF(Result_type="Aggregate Impact",1,Bid/1000))</f>
        <v>385.83179999999999</v>
      </c>
      <c r="N24" s="49">
        <f>IF(pass=0,"n/a",DGET(data,"Pctile90_hr17",_xlnm.Criteria)/IF(Result_type="Aggregate Impact",1,Bid/1000))</f>
        <v>389.08760000000001</v>
      </c>
      <c r="S24" s="39"/>
      <c r="T24" s="39"/>
      <c r="U24" s="39"/>
      <c r="V24" s="39"/>
      <c r="W24" s="39"/>
    </row>
    <row r="25" spans="3:23" ht="16.5" x14ac:dyDescent="0.2">
      <c r="C25" s="5"/>
      <c r="D25" s="5"/>
      <c r="E25" s="35">
        <v>18</v>
      </c>
      <c r="F25" s="49">
        <f>IF(pass=0,"n/a",DGET(data,"Ref_hr18",_xlnm.Criteria)/IF(Result_type="Aggregate Impact",1,Bid/1000))</f>
        <v>826.20870000000002</v>
      </c>
      <c r="G25" s="49">
        <f>IF(pass=0,"n/a",F25-H25)</f>
        <v>565.1739</v>
      </c>
      <c r="H25" s="49">
        <f>IF(pass=0,"n/a",DGET(data,"Pctile50_hr18",_xlnm.Criteria)/IF(Result_type="Aggregate Impact",1,Bid/1000))</f>
        <v>261.03480000000002</v>
      </c>
      <c r="I25" s="49">
        <f>IF(pass=0,"n/a",DGET(data,"Temp_hr18",_xlnm.Criteria))</f>
        <v>91.736270000000005</v>
      </c>
      <c r="J25" s="49">
        <f>IF(pass=0,"n/a",DGET(data,"Pctile10_hr18",_xlnm.Criteria)/IF(Result_type="Aggregate Impact",1,Bid/1000))</f>
        <v>255.73490000000001</v>
      </c>
      <c r="K25" s="49">
        <f>IF(pass=0,"n/a",DGET(data,"Pctile30_hr18",_xlnm.Criteria)/IF(Result_type="Aggregate Impact",1,Bid/1000))</f>
        <v>258.86610000000002</v>
      </c>
      <c r="L25" s="49">
        <f t="shared" si="0"/>
        <v>261.03480000000002</v>
      </c>
      <c r="M25" s="49">
        <f>IF(pass=0,"n/a",DGET(data,"Pctile70_hr18",_xlnm.Criteria)/IF(Result_type="Aggregate Impact",1,Bid/1000))</f>
        <v>263.20350000000002</v>
      </c>
      <c r="N25" s="49">
        <f>IF(pass=0,"n/a",DGET(data,"Pctile90_hr18",_xlnm.Criteria)/IF(Result_type="Aggregate Impact",1,Bid/1000))</f>
        <v>266.3347</v>
      </c>
      <c r="S25" s="39"/>
      <c r="T25" s="39"/>
      <c r="U25" s="39"/>
      <c r="V25" s="39"/>
      <c r="W25" s="39"/>
    </row>
    <row r="26" spans="3:23" ht="16.5" x14ac:dyDescent="0.2">
      <c r="C26" s="5"/>
      <c r="D26" s="5"/>
      <c r="E26" s="35">
        <v>19</v>
      </c>
      <c r="F26" s="49">
        <f>IF(pass=0,"n/a",DGET(data,"Ref_hr19",_xlnm.Criteria)/IF(Result_type="Aggregate Impact",1,Bid/1000))</f>
        <v>828.66980000000001</v>
      </c>
      <c r="G26" s="49">
        <f>IF(pass=0,"n/a",F26-H26)</f>
        <v>658.87120000000004</v>
      </c>
      <c r="H26" s="49">
        <f>IF(pass=0,"n/a",DGET(data,"Pctile50_hr19",_xlnm.Criteria)/IF(Result_type="Aggregate Impact",1,Bid/1000))</f>
        <v>169.79859999999999</v>
      </c>
      <c r="I26" s="49">
        <f>IF(pass=0,"n/a",DGET(data,"Temp_hr19",_xlnm.Criteria))</f>
        <v>88.689400000000006</v>
      </c>
      <c r="J26" s="49">
        <f>IF(pass=0,"n/a",DGET(data,"Pctile10_hr19",_xlnm.Criteria)/IF(Result_type="Aggregate Impact",1,Bid/1000))</f>
        <v>163.846</v>
      </c>
      <c r="K26" s="49">
        <f>IF(pass=0,"n/a",DGET(data,"Pctile30_hr19",_xlnm.Criteria)/IF(Result_type="Aggregate Impact",1,Bid/1000))</f>
        <v>167.3629</v>
      </c>
      <c r="L26" s="49">
        <f t="shared" si="0"/>
        <v>169.79859999999999</v>
      </c>
      <c r="M26" s="49">
        <f>IF(pass=0,"n/a",DGET(data,"Pctile70_hr19",_xlnm.Criteria)/IF(Result_type="Aggregate Impact",1,Bid/1000))</f>
        <v>172.23439999999999</v>
      </c>
      <c r="N26" s="49">
        <f>IF(pass=0,"n/a",DGET(data,"Pctile90_hr19",_xlnm.Criteria)/IF(Result_type="Aggregate Impact",1,Bid/1000))</f>
        <v>175.75129999999999</v>
      </c>
      <c r="S26" s="39"/>
      <c r="T26" s="39"/>
      <c r="U26" s="39"/>
      <c r="V26" s="39"/>
      <c r="W26" s="39"/>
    </row>
    <row r="27" spans="3:23" ht="16.5" x14ac:dyDescent="0.2">
      <c r="C27" s="5"/>
      <c r="D27" s="5"/>
      <c r="E27" s="35">
        <v>20</v>
      </c>
      <c r="F27" s="49">
        <f>IF(pass=0,"n/a",DGET(data,"Ref_hr20",_xlnm.Criteria)/IF(Result_type="Aggregate Impact",1,Bid/1000))</f>
        <v>831.55679999999995</v>
      </c>
      <c r="G27" s="49">
        <f>IF(pass=0,"n/a",F27-H27)</f>
        <v>727.35050000000001</v>
      </c>
      <c r="H27" s="49">
        <f>IF(pass=0,"n/a",DGET(data,"Pctile50_hr20",_xlnm.Criteria)/IF(Result_type="Aggregate Impact",1,Bid/1000))</f>
        <v>104.2063</v>
      </c>
      <c r="I27" s="49">
        <f>IF(pass=0,"n/a",DGET(data,"Temp_hr20",_xlnm.Criteria))</f>
        <v>84.858249999999998</v>
      </c>
      <c r="J27" s="49">
        <f>IF(pass=0,"n/a",DGET(data,"Pctile10_hr20",_xlnm.Criteria)/IF(Result_type="Aggregate Impact",1,Bid/1000))</f>
        <v>98.329939999999993</v>
      </c>
      <c r="K27" s="49">
        <f>IF(pass=0,"n/a",DGET(data,"Pctile30_hr20",_xlnm.Criteria)/IF(Result_type="Aggregate Impact",1,Bid/1000))</f>
        <v>101.8018</v>
      </c>
      <c r="L27" s="49">
        <f t="shared" si="0"/>
        <v>104.2063</v>
      </c>
      <c r="M27" s="49">
        <f>IF(pass=0,"n/a",DGET(data,"Pctile70_hr20",_xlnm.Criteria)/IF(Result_type="Aggregate Impact",1,Bid/1000))</f>
        <v>106.6109</v>
      </c>
      <c r="N27" s="49">
        <f>IF(pass=0,"n/a",DGET(data,"Pctile90_hr20",_xlnm.Criteria)/IF(Result_type="Aggregate Impact",1,Bid/1000))</f>
        <v>110.0827</v>
      </c>
      <c r="S27" s="39"/>
      <c r="T27" s="39"/>
      <c r="U27" s="39"/>
      <c r="V27" s="39"/>
      <c r="W27" s="39"/>
    </row>
    <row r="28" spans="3:23" ht="16.5" x14ac:dyDescent="0.2">
      <c r="C28" s="5"/>
      <c r="D28" s="5"/>
      <c r="E28" s="35">
        <v>21</v>
      </c>
      <c r="F28" s="49">
        <f>IF(pass=0,"n/a",DGET(data,"Ref_hr21",_xlnm.Criteria)/IF(Result_type="Aggregate Impact",1,Bid/1000))</f>
        <v>833.23929999999996</v>
      </c>
      <c r="G28" s="49">
        <f>IF(pass=0,"n/a",F28-H28)</f>
        <v>742.08715999999993</v>
      </c>
      <c r="H28" s="49">
        <f>IF(pass=0,"n/a",DGET(data,"Pctile50_hr21",_xlnm.Criteria)/IF(Result_type="Aggregate Impact",1,Bid/1000))</f>
        <v>91.152140000000003</v>
      </c>
      <c r="I28" s="49">
        <f>IF(pass=0,"n/a",DGET(data,"Temp_hr21",_xlnm.Criteria))</f>
        <v>81.218879999999999</v>
      </c>
      <c r="J28" s="49">
        <f>IF(pass=0,"n/a",DGET(data,"Pctile10_hr21",_xlnm.Criteria)/IF(Result_type="Aggregate Impact",1,Bid/1000))</f>
        <v>84.863169999999997</v>
      </c>
      <c r="K28" s="49">
        <f>IF(pass=0,"n/a",DGET(data,"Pctile30_hr21",_xlnm.Criteria)/IF(Result_type="Aggregate Impact",1,Bid/1000))</f>
        <v>88.578739999999996</v>
      </c>
      <c r="L28" s="49">
        <f t="shared" si="0"/>
        <v>91.152140000000003</v>
      </c>
      <c r="M28" s="49">
        <f>IF(pass=0,"n/a",DGET(data,"Pctile70_hr21",_xlnm.Criteria)/IF(Result_type="Aggregate Impact",1,Bid/1000))</f>
        <v>93.725530000000006</v>
      </c>
      <c r="N28" s="49">
        <f>IF(pass=0,"n/a",DGET(data,"Pctile90_hr21",_xlnm.Criteria)/IF(Result_type="Aggregate Impact",1,Bid/1000))</f>
        <v>97.441109999999995</v>
      </c>
      <c r="S28" s="39"/>
      <c r="T28" s="39"/>
      <c r="U28" s="39"/>
      <c r="V28" s="39"/>
      <c r="W28" s="39"/>
    </row>
    <row r="29" spans="3:23" ht="16.5" x14ac:dyDescent="0.2">
      <c r="C29" s="5"/>
      <c r="D29" s="5"/>
      <c r="E29" s="35">
        <v>22</v>
      </c>
      <c r="F29" s="49">
        <f>IF(pass=0,"n/a",DGET(data,"Ref_hr22",_xlnm.Criteria)/IF(Result_type="Aggregate Impact",1,Bid/1000))</f>
        <v>813.5027</v>
      </c>
      <c r="G29" s="49">
        <f>IF(pass=0,"n/a",F29-H29)</f>
        <v>731.03276000000005</v>
      </c>
      <c r="H29" s="49">
        <f>IF(pass=0,"n/a",DGET(data,"Pctile50_hr22",_xlnm.Criteria)/IF(Result_type="Aggregate Impact",1,Bid/1000))</f>
        <v>82.469939999999994</v>
      </c>
      <c r="I29" s="49">
        <f>IF(pass=0,"n/a",DGET(data,"Temp_hr22",_xlnm.Criteria))</f>
        <v>78.626540000000006</v>
      </c>
      <c r="J29" s="49">
        <f>IF(pass=0,"n/a",DGET(data,"Pctile10_hr22",_xlnm.Criteria)/IF(Result_type="Aggregate Impact",1,Bid/1000))</f>
        <v>76.301630000000003</v>
      </c>
      <c r="K29" s="49">
        <f>IF(pass=0,"n/a",DGET(data,"Pctile30_hr22",_xlnm.Criteria)/IF(Result_type="Aggregate Impact",1,Bid/1000))</f>
        <v>79.945920000000001</v>
      </c>
      <c r="L29" s="49">
        <f t="shared" si="0"/>
        <v>82.469939999999994</v>
      </c>
      <c r="M29" s="49">
        <f>IF(pass=0,"n/a",DGET(data,"Pctile70_hr22",_xlnm.Criteria)/IF(Result_type="Aggregate Impact",1,Bid/1000))</f>
        <v>84.993970000000004</v>
      </c>
      <c r="N29" s="49">
        <f>IF(pass=0,"n/a",DGET(data,"Pctile90_hr22",_xlnm.Criteria)/IF(Result_type="Aggregate Impact",1,Bid/1000))</f>
        <v>88.638249999999999</v>
      </c>
    </row>
    <row r="30" spans="3:23" ht="16.5" x14ac:dyDescent="0.2">
      <c r="C30" s="5"/>
      <c r="D30" s="5"/>
      <c r="E30" s="35">
        <v>23</v>
      </c>
      <c r="F30" s="49">
        <f>IF(pass=0,"n/a",DGET(data,"Ref_hr23",_xlnm.Criteria)/IF(Result_type="Aggregate Impact",1,Bid/1000))</f>
        <v>796.65210000000002</v>
      </c>
      <c r="G30" s="49">
        <f>IF(pass=0,"n/a",F30-H30)</f>
        <v>724.83875999999998</v>
      </c>
      <c r="H30" s="49">
        <f>IF(pass=0,"n/a",DGET(data,"Pctile50_hr23",_xlnm.Criteria)/IF(Result_type="Aggregate Impact",1,Bid/1000))</f>
        <v>71.813339999999997</v>
      </c>
      <c r="I30" s="49">
        <f>IF(pass=0,"n/a",DGET(data,"Temp_hr23",_xlnm.Criteria))</f>
        <v>77.124459999999999</v>
      </c>
      <c r="J30" s="49">
        <f>IF(pass=0,"n/a",DGET(data,"Pctile10_hr23",_xlnm.Criteria)/IF(Result_type="Aggregate Impact",1,Bid/1000))</f>
        <v>66.512150000000005</v>
      </c>
      <c r="K30" s="49">
        <f>IF(pass=0,"n/a",DGET(data,"Pctile30_hr23",_xlnm.Criteria)/IF(Result_type="Aggregate Impact",1,Bid/1000))</f>
        <v>69.644130000000004</v>
      </c>
      <c r="L30" s="49">
        <f t="shared" si="0"/>
        <v>71.813339999999997</v>
      </c>
      <c r="M30" s="49">
        <f>IF(pass=0,"n/a",DGET(data,"Pctile70_hr23",_xlnm.Criteria)/IF(Result_type="Aggregate Impact",1,Bid/1000))</f>
        <v>73.98254</v>
      </c>
      <c r="N30" s="49">
        <f>IF(pass=0,"n/a",DGET(data,"Pctile90_hr23",_xlnm.Criteria)/IF(Result_type="Aggregate Impact",1,Bid/1000))</f>
        <v>77.114519999999999</v>
      </c>
    </row>
    <row r="31" spans="3:23" ht="16.5" x14ac:dyDescent="0.2">
      <c r="C31" s="5"/>
      <c r="D31" s="5"/>
      <c r="E31" s="35">
        <v>24</v>
      </c>
      <c r="F31" s="49">
        <f>IF(pass=0,"n/a",DGET(data,"Ref_hr24",_xlnm.Criteria)/IF(Result_type="Aggregate Impact",1,Bid/1000))</f>
        <v>785.80920000000003</v>
      </c>
      <c r="G31" s="49">
        <f>IF(pass=0,"n/a",F31-H31)</f>
        <v>716.90650000000005</v>
      </c>
      <c r="H31" s="49">
        <f>IF(pass=0,"n/a",DGET(data,"Pctile50_hr24",_xlnm.Criteria)/IF(Result_type="Aggregate Impact",1,Bid/1000))</f>
        <v>68.902699999999996</v>
      </c>
      <c r="I31" s="49">
        <f>IF(pass=0,"n/a",DGET(data,"Temp_hr24",_xlnm.Criteria))</f>
        <v>75.988050000000001</v>
      </c>
      <c r="J31" s="49">
        <f>IF(pass=0,"n/a",DGET(data,"Pctile10_hr24",_xlnm.Criteria)/IF(Result_type="Aggregate Impact",1,Bid/1000))</f>
        <v>63.76728</v>
      </c>
      <c r="K31" s="49">
        <f>IF(pass=0,"n/a",DGET(data,"Pctile30_hr24",_xlnm.Criteria)/IF(Result_type="Aggregate Impact",1,Bid/1000))</f>
        <v>66.801329999999993</v>
      </c>
      <c r="L31" s="49">
        <f t="shared" si="0"/>
        <v>68.902699999999996</v>
      </c>
      <c r="M31" s="49">
        <f>IF(pass=0,"n/a",DGET(data,"Pctile70_hr24",_xlnm.Criteria)/IF(Result_type="Aggregate Impact",1,Bid/1000))</f>
        <v>71.004069999999999</v>
      </c>
      <c r="N31" s="49">
        <f>IF(pass=0,"n/a",DGET(data,"Pctile90_hr24",_xlnm.Criteria)/IF(Result_type="Aggregate Impact",1,Bid/1000))</f>
        <v>74.038120000000006</v>
      </c>
    </row>
    <row r="32" spans="3:23" ht="49.5" customHeight="1" thickBot="1" x14ac:dyDescent="0.35">
      <c r="C32" s="5"/>
      <c r="D32" s="5"/>
      <c r="E32" s="17"/>
      <c r="F32" s="73" t="str">
        <f>"Estimated Reference
Energy Use
("&amp;IF(Result_type="Aggregate Impact","MWh)","kWh)")</f>
        <v>Estimated Reference
Energy Use
(MWh)</v>
      </c>
      <c r="G32" s="73" t="str">
        <f>"Observed 
Event Day Energy Use ("&amp;IF(Result_type="Aggregate Impact","MWh)","kWh)")</f>
        <v>Observed 
Event Day Energy Use (MWh)</v>
      </c>
      <c r="H32" s="73" t="str">
        <f>"Estimated 
Change in Energy Use ("&amp;IF(Result_type="Aggregate Impact","MWh)","kWh)")</f>
        <v>Estimated 
Change in Energy Use (MWh)</v>
      </c>
      <c r="I32" s="75" t="s">
        <v>191</v>
      </c>
      <c r="J32" s="53" t="str">
        <f>"Uncertainty Adjusted Impact ("&amp;IF(Result_type="Aggregate Impact","MWh/hour) - Percentiles","kWh/hour) - Percentiles")</f>
        <v>Uncertainty Adjusted Impact (MWh/hour) - Percentiles</v>
      </c>
      <c r="K32" s="53"/>
      <c r="L32" s="53"/>
      <c r="M32" s="53"/>
      <c r="N32" s="54"/>
    </row>
    <row r="33" spans="3:14" ht="16.5" x14ac:dyDescent="0.3">
      <c r="C33" s="5"/>
      <c r="D33" s="5"/>
      <c r="E33" s="58" t="s">
        <v>213</v>
      </c>
      <c r="F33" s="74"/>
      <c r="G33" s="74"/>
      <c r="H33" s="74"/>
      <c r="I33" s="74"/>
      <c r="J33" s="18" t="s">
        <v>11</v>
      </c>
      <c r="K33" s="18" t="s">
        <v>12</v>
      </c>
      <c r="L33" s="18" t="s">
        <v>13</v>
      </c>
      <c r="M33" s="18" t="s">
        <v>14</v>
      </c>
      <c r="N33" s="19" t="s">
        <v>15</v>
      </c>
    </row>
    <row r="34" spans="3:14" ht="17.25" thickBot="1" x14ac:dyDescent="0.35">
      <c r="C34" s="5"/>
      <c r="D34" s="5"/>
      <c r="E34" s="20" t="s">
        <v>16</v>
      </c>
      <c r="F34" s="21">
        <f>IF(pass=0,"n/a",SUM(F8:F31))</f>
        <v>20079.517299999996</v>
      </c>
      <c r="G34" s="22">
        <f>IF(pass=0,"n/a",SUM(G8:G31))</f>
        <v>17014.313575600001</v>
      </c>
      <c r="H34" s="22">
        <f>IF(pass=0,"n/a",SUM(H8:H31))</f>
        <v>3065.2037243999998</v>
      </c>
      <c r="I34" s="23">
        <f>IF(pass=0,"n/a",SUM(Lookups!B32:B55))</f>
        <v>144.19157000000007</v>
      </c>
      <c r="J34" s="23" t="s">
        <v>17</v>
      </c>
      <c r="K34" s="23" t="s">
        <v>17</v>
      </c>
      <c r="L34" s="23" t="s">
        <v>17</v>
      </c>
      <c r="M34" s="23" t="s">
        <v>17</v>
      </c>
      <c r="N34" s="61" t="s">
        <v>17</v>
      </c>
    </row>
    <row r="35" spans="3:14" ht="17.25" thickBot="1" x14ac:dyDescent="0.35">
      <c r="E35" s="20" t="s">
        <v>212</v>
      </c>
      <c r="F35" s="60">
        <f>F22</f>
        <v>864.09640000000002</v>
      </c>
      <c r="G35" s="60">
        <f t="shared" ref="G35:H35" si="1">G22</f>
        <v>172.03449999999998</v>
      </c>
      <c r="H35" s="60">
        <f t="shared" si="1"/>
        <v>692.06190000000004</v>
      </c>
      <c r="I35" s="23">
        <f>IF(pass=0,"n/a",Lookups!B46)</f>
        <v>16.011470000000003</v>
      </c>
      <c r="J35" s="23">
        <f t="shared" ref="J35:N35" si="2">J22</f>
        <v>686.53240000000005</v>
      </c>
      <c r="K35" s="23">
        <f t="shared" si="2"/>
        <v>689.79930000000002</v>
      </c>
      <c r="L35" s="23">
        <f t="shared" si="2"/>
        <v>692.06190000000004</v>
      </c>
      <c r="M35" s="23">
        <f t="shared" si="2"/>
        <v>694.32449999999994</v>
      </c>
      <c r="N35" s="61">
        <f t="shared" si="2"/>
        <v>697.59140000000002</v>
      </c>
    </row>
    <row r="36" spans="3:14" ht="15" x14ac:dyDescent="0.25">
      <c r="E36" s="24"/>
      <c r="F36" s="39"/>
      <c r="G36" s="69" t="s">
        <v>234</v>
      </c>
      <c r="H36" s="70">
        <f>IF(pass=0,"n/a",H35/F35)</f>
        <v>0.80090820885262337</v>
      </c>
      <c r="I36" s="39"/>
    </row>
    <row r="37" spans="3:14" x14ac:dyDescent="0.2">
      <c r="E37" s="80" t="s">
        <v>246</v>
      </c>
      <c r="F37" s="39"/>
      <c r="G37" s="39"/>
      <c r="H37" s="39"/>
      <c r="I37" s="40"/>
    </row>
    <row r="38" spans="3:14" x14ac:dyDescent="0.2">
      <c r="E38" s="24"/>
      <c r="F38" s="39"/>
      <c r="G38" s="39"/>
      <c r="H38" s="39"/>
      <c r="I38" s="39"/>
    </row>
    <row r="40" spans="3:14" x14ac:dyDescent="0.2">
      <c r="E40" s="24"/>
      <c r="F40" s="39"/>
      <c r="G40" s="39"/>
      <c r="H40" s="39"/>
      <c r="I40" s="40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3" priority="41" stopIfTrue="1">
      <formula>$A$1&lt;&gt;""</formula>
    </cfRule>
  </conditionalFormatting>
  <conditionalFormatting sqref="C2">
    <cfRule type="expression" dxfId="2" priority="33">
      <formula>size_lca_flag=1</formula>
    </cfRule>
  </conditionalFormatting>
  <conditionalFormatting sqref="C1">
    <cfRule type="expression" dxfId="1" priority="22" stopIfTrue="1">
      <formula>$A$1&lt;&gt;""</formula>
    </cfRule>
  </conditionalFormatting>
  <dataValidations count="4">
    <dataValidation type="list" allowBlank="1" showInputMessage="1" showErrorMessage="1" sqref="B8">
      <formula1>lca_list</formula1>
    </dataValidation>
    <dataValidation type="list" allowBlank="1" showInputMessage="1" showErrorMessage="1" sqref="B5">
      <formula1>date_list</formula1>
    </dataValidation>
    <dataValidation type="list" allowBlank="1" showInputMessage="1" showErrorMessage="1" sqref="B4">
      <formula1>Result_type_list</formula1>
    </dataValidation>
    <dataValidation type="list" allowBlank="1" showInputMessage="1" showErrorMessage="1" sqref="B11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" id="{E609E01C-C478-4F14-A9A0-A2F09152C0BA}">
            <xm:f>AND($E8&gt;=VLOOKUP(date,Lookups!$B$11:$D$16,3,FALSE),$E8&lt;=VLOOKUP(date,Lookups!$B$11:$E$16,4,FALSE))</xm:f>
            <x14:dxf>
              <fill>
                <patternFill>
                  <bgColor theme="3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opLeftCell="A34" workbookViewId="0">
      <selection activeCell="B60" sqref="B60"/>
    </sheetView>
  </sheetViews>
  <sheetFormatPr defaultRowHeight="12.75" x14ac:dyDescent="0.2"/>
  <cols>
    <col min="1" max="1" width="16.85546875" customWidth="1"/>
    <col min="2" max="2" width="9.7109375" bestFit="1" customWidth="1"/>
    <col min="3" max="3" width="24.140625" bestFit="1" customWidth="1"/>
    <col min="4" max="4" width="17.140625" bestFit="1" customWidth="1"/>
    <col min="5" max="5" width="9.5703125" bestFit="1" customWidth="1"/>
    <col min="6" max="6" width="8.85546875" bestFit="1" customWidth="1"/>
    <col min="7" max="7" width="7.7109375" customWidth="1"/>
    <col min="8" max="8" width="10.85546875" bestFit="1" customWidth="1"/>
    <col min="10" max="10" width="25.5703125" bestFit="1" customWidth="1"/>
    <col min="11" max="11" width="16" bestFit="1" customWidth="1"/>
    <col min="12" max="12" width="31" bestFit="1" customWidth="1"/>
    <col min="13" max="13" width="15.5703125" bestFit="1" customWidth="1"/>
    <col min="14" max="14" width="16.42578125" bestFit="1" customWidth="1"/>
    <col min="15" max="15" width="13.42578125" bestFit="1" customWidth="1"/>
  </cols>
  <sheetData>
    <row r="1" spans="1:18" x14ac:dyDescent="0.2">
      <c r="G1" s="1"/>
      <c r="H1" s="1"/>
    </row>
    <row r="3" spans="1:18" ht="15" x14ac:dyDescent="0.25">
      <c r="A3" s="26"/>
      <c r="B3" s="25" t="s">
        <v>203</v>
      </c>
      <c r="C3" s="25" t="s">
        <v>200</v>
      </c>
      <c r="E3" s="25"/>
      <c r="G3" s="64"/>
      <c r="J3" s="2" t="s">
        <v>207</v>
      </c>
      <c r="K3" s="11" t="s">
        <v>204</v>
      </c>
      <c r="L3" s="11" t="s">
        <v>205</v>
      </c>
      <c r="M3" s="11" t="s">
        <v>0</v>
      </c>
      <c r="N3" s="11" t="s">
        <v>206</v>
      </c>
      <c r="R3" s="72"/>
    </row>
    <row r="4" spans="1:18" x14ac:dyDescent="0.2">
      <c r="A4" s="28"/>
      <c r="B4" t="str">
        <f>date</f>
        <v>Typical Event Day</v>
      </c>
      <c r="C4" s="5" t="str">
        <f>lca</f>
        <v>All</v>
      </c>
      <c r="E4" s="5"/>
      <c r="G4" s="65"/>
      <c r="J4" t="s">
        <v>3</v>
      </c>
      <c r="K4" s="63">
        <v>42271</v>
      </c>
      <c r="L4" t="s">
        <v>1</v>
      </c>
      <c r="M4" t="s">
        <v>1</v>
      </c>
      <c r="N4" s="41" t="s">
        <v>1</v>
      </c>
      <c r="R4" s="72"/>
    </row>
    <row r="5" spans="1:18" ht="13.5" x14ac:dyDescent="0.25">
      <c r="A5" s="26"/>
      <c r="B5" s="26"/>
      <c r="C5" s="26"/>
      <c r="D5" s="26"/>
      <c r="E5" s="26"/>
      <c r="F5" s="26"/>
      <c r="G5" s="27"/>
      <c r="H5" s="27"/>
      <c r="J5" s="1" t="s">
        <v>208</v>
      </c>
      <c r="K5" s="63" t="s">
        <v>2</v>
      </c>
      <c r="L5" t="s">
        <v>193</v>
      </c>
      <c r="M5" t="s">
        <v>230</v>
      </c>
      <c r="N5" s="41" t="s">
        <v>201</v>
      </c>
      <c r="R5" s="41"/>
    </row>
    <row r="6" spans="1:18" x14ac:dyDescent="0.2">
      <c r="A6" s="28"/>
      <c r="B6" s="28"/>
      <c r="C6" s="68" t="s">
        <v>229</v>
      </c>
      <c r="D6" s="29">
        <f>DGET(data,"enrolled",_xlnm.Criteria)</f>
        <v>610</v>
      </c>
      <c r="E6" s="28"/>
      <c r="F6" s="29"/>
      <c r="G6" s="29"/>
      <c r="H6" s="29"/>
      <c r="K6" s="63"/>
      <c r="L6" t="s">
        <v>194</v>
      </c>
      <c r="M6" t="s">
        <v>231</v>
      </c>
      <c r="N6" s="41" t="s">
        <v>202</v>
      </c>
    </row>
    <row r="7" spans="1:18" ht="13.5" x14ac:dyDescent="0.25">
      <c r="A7" s="26"/>
      <c r="C7" s="41"/>
      <c r="K7" s="63"/>
      <c r="L7" t="s">
        <v>195</v>
      </c>
      <c r="M7" t="s">
        <v>232</v>
      </c>
      <c r="N7" s="42"/>
    </row>
    <row r="8" spans="1:18" ht="13.5" x14ac:dyDescent="0.25">
      <c r="A8" s="27"/>
      <c r="C8" s="41" t="s">
        <v>235</v>
      </c>
      <c r="D8">
        <f>DGET(data,"bid",_xlnm.Criteria)</f>
        <v>610</v>
      </c>
      <c r="K8" s="63"/>
      <c r="L8" t="s">
        <v>196</v>
      </c>
      <c r="N8" s="33"/>
    </row>
    <row r="9" spans="1:18" x14ac:dyDescent="0.2">
      <c r="C9" t="s">
        <v>241</v>
      </c>
      <c r="D9">
        <f>DGET(data,"_pass",_xlnm.Criteria)</f>
        <v>1</v>
      </c>
      <c r="K9" s="63"/>
      <c r="L9" t="s">
        <v>197</v>
      </c>
      <c r="N9" s="33"/>
    </row>
    <row r="10" spans="1:18" x14ac:dyDescent="0.2">
      <c r="B10" t="s">
        <v>203</v>
      </c>
      <c r="C10" t="s">
        <v>209</v>
      </c>
      <c r="D10" t="s">
        <v>210</v>
      </c>
      <c r="E10" t="s">
        <v>211</v>
      </c>
      <c r="L10" t="s">
        <v>198</v>
      </c>
      <c r="N10" s="33"/>
    </row>
    <row r="11" spans="1:18" x14ac:dyDescent="0.2">
      <c r="B11" s="63">
        <v>42271</v>
      </c>
      <c r="D11">
        <v>14</v>
      </c>
      <c r="E11">
        <v>16</v>
      </c>
      <c r="F11" t="str">
        <f t="shared" ref="F11:F12" si="0">"Hours Ending "&amp;D11&amp;" to "&amp;E11</f>
        <v>Hours Ending 14 to 16</v>
      </c>
      <c r="L11" t="s">
        <v>199</v>
      </c>
      <c r="N11" s="33"/>
    </row>
    <row r="12" spans="1:18" x14ac:dyDescent="0.2">
      <c r="B12" s="63" t="s">
        <v>2</v>
      </c>
      <c r="D12">
        <v>14</v>
      </c>
      <c r="E12">
        <v>16</v>
      </c>
      <c r="F12" t="str">
        <f t="shared" si="0"/>
        <v>Hours Ending 14 to 16</v>
      </c>
    </row>
    <row r="13" spans="1:18" x14ac:dyDescent="0.2">
      <c r="B13" s="63"/>
    </row>
    <row r="14" spans="1:18" x14ac:dyDescent="0.2">
      <c r="B14" s="63"/>
    </row>
    <row r="15" spans="1:18" x14ac:dyDescent="0.2">
      <c r="B15" s="63"/>
    </row>
    <row r="16" spans="1:18" x14ac:dyDescent="0.2">
      <c r="B16" s="63"/>
    </row>
    <row r="17" spans="1:15" x14ac:dyDescent="0.2">
      <c r="A17" t="str">
        <f>B17&amp;C17</f>
        <v/>
      </c>
      <c r="B17" s="56"/>
    </row>
    <row r="18" spans="1:15" x14ac:dyDescent="0.2">
      <c r="A18" t="str">
        <f t="shared" ref="A18:A24" si="1">B18&amp;C18</f>
        <v/>
      </c>
      <c r="B18" s="56"/>
    </row>
    <row r="19" spans="1:15" x14ac:dyDescent="0.2">
      <c r="A19" t="str">
        <f t="shared" si="1"/>
        <v/>
      </c>
      <c r="B19" s="56"/>
      <c r="O19" s="33"/>
    </row>
    <row r="20" spans="1:15" x14ac:dyDescent="0.2">
      <c r="A20" t="str">
        <f t="shared" si="1"/>
        <v/>
      </c>
      <c r="B20" s="56"/>
      <c r="O20" s="33"/>
    </row>
    <row r="21" spans="1:15" x14ac:dyDescent="0.2">
      <c r="A21" t="str">
        <f t="shared" si="1"/>
        <v/>
      </c>
      <c r="B21" s="56"/>
      <c r="O21" s="33"/>
    </row>
    <row r="22" spans="1:15" x14ac:dyDescent="0.2">
      <c r="A22" t="str">
        <f t="shared" si="1"/>
        <v/>
      </c>
      <c r="B22" s="56"/>
      <c r="O22" s="33"/>
    </row>
    <row r="23" spans="1:15" x14ac:dyDescent="0.2">
      <c r="A23" t="str">
        <f t="shared" si="1"/>
        <v/>
      </c>
      <c r="B23" s="56"/>
      <c r="O23" s="33"/>
    </row>
    <row r="24" spans="1:15" x14ac:dyDescent="0.2">
      <c r="A24" t="str">
        <f t="shared" si="1"/>
        <v/>
      </c>
      <c r="B24" s="56"/>
      <c r="O24" s="33"/>
    </row>
    <row r="25" spans="1:15" x14ac:dyDescent="0.2">
      <c r="A25" t="str">
        <f>B25&amp;C25</f>
        <v/>
      </c>
      <c r="B25" s="57"/>
      <c r="O25" s="33"/>
    </row>
    <row r="26" spans="1:15" x14ac:dyDescent="0.2">
      <c r="A26" t="str">
        <f>B26&amp;C26</f>
        <v/>
      </c>
      <c r="B26" s="57"/>
    </row>
    <row r="27" spans="1:15" x14ac:dyDescent="0.2">
      <c r="A27" t="str">
        <f>B27&amp;C27</f>
        <v/>
      </c>
      <c r="B27" s="57"/>
    </row>
    <row r="28" spans="1:15" x14ac:dyDescent="0.2">
      <c r="A28" s="6"/>
      <c r="B28" s="6"/>
      <c r="C28" s="6"/>
      <c r="D28" s="6"/>
      <c r="E28" s="6"/>
      <c r="F28" s="6"/>
    </row>
    <row r="29" spans="1:15" x14ac:dyDescent="0.2">
      <c r="A29" s="6"/>
      <c r="B29" s="6"/>
      <c r="C29" s="6"/>
      <c r="D29" s="6"/>
      <c r="E29" s="6"/>
      <c r="F29" s="6"/>
    </row>
    <row r="30" spans="1:15" x14ac:dyDescent="0.2">
      <c r="A30" s="6"/>
      <c r="B30" s="6"/>
      <c r="C30" s="6"/>
      <c r="D30" s="6"/>
      <c r="E30" s="6"/>
      <c r="F30" s="6"/>
    </row>
    <row r="31" spans="1:15" x14ac:dyDescent="0.2">
      <c r="B31" s="46" t="s">
        <v>192</v>
      </c>
      <c r="C31" s="41" t="s">
        <v>225</v>
      </c>
      <c r="D31" s="41" t="s">
        <v>215</v>
      </c>
      <c r="E31" s="41" t="s">
        <v>216</v>
      </c>
      <c r="F31" s="41" t="s">
        <v>217</v>
      </c>
      <c r="G31" s="41" t="s">
        <v>223</v>
      </c>
      <c r="H31" s="41" t="s">
        <v>218</v>
      </c>
      <c r="I31" s="41" t="s">
        <v>219</v>
      </c>
      <c r="J31" s="41" t="s">
        <v>220</v>
      </c>
      <c r="K31" s="41" t="s">
        <v>221</v>
      </c>
      <c r="L31" s="41" t="s">
        <v>222</v>
      </c>
      <c r="M31" s="41" t="s">
        <v>226</v>
      </c>
    </row>
    <row r="32" spans="1:15" x14ac:dyDescent="0.2">
      <c r="A32">
        <v>1</v>
      </c>
      <c r="B32" s="47">
        <f>MAX(0,Table!I8-75)</f>
        <v>0</v>
      </c>
      <c r="C32" t="str">
        <f t="shared" ref="C32:C55" si="2">IF(AND(A32&gt;=VLOOKUP(date,$B$11:$D$27,3,FALSE),A32&lt;=VLOOKUP(date,$B$11:$E$27,4,FALSE)),1,"")</f>
        <v/>
      </c>
      <c r="D32" s="6" t="str">
        <f>IF($C32=1,Table!F8,"")</f>
        <v/>
      </c>
      <c r="E32" s="6" t="str">
        <f>IF($C32=1,Table!G8,"")</f>
        <v/>
      </c>
      <c r="F32" s="6" t="str">
        <f>IF($C32=1,Table!H8,"")</f>
        <v/>
      </c>
      <c r="G32" s="6" t="str">
        <f>IF($C32=1,B32,"")</f>
        <v/>
      </c>
      <c r="H32" s="6" t="str">
        <f>IF($C32=1,Table!J8,"")</f>
        <v/>
      </c>
      <c r="I32" s="6" t="str">
        <f>IF($C32=1,Table!K8,"")</f>
        <v/>
      </c>
      <c r="J32" s="6" t="str">
        <f>IF($C32=1,Table!L8,"")</f>
        <v/>
      </c>
      <c r="K32" s="6" t="str">
        <f>IF($C32=1,Table!M8,"")</f>
        <v/>
      </c>
      <c r="L32" s="6" t="str">
        <f>IF($C32=1,Table!N8,"")</f>
        <v/>
      </c>
      <c r="M32" s="39" t="str">
        <f>IF(C32=1,((Table!K8-Table!L8)/NORMSINV(0.3))^2,"")</f>
        <v/>
      </c>
    </row>
    <row r="33" spans="1:13" x14ac:dyDescent="0.2">
      <c r="A33">
        <f>A32+1</f>
        <v>2</v>
      </c>
      <c r="B33" s="47">
        <f>MAX(0,Table!I9-75)</f>
        <v>0</v>
      </c>
      <c r="C33" t="str">
        <f t="shared" si="2"/>
        <v/>
      </c>
      <c r="D33" s="6" t="str">
        <f>IF($C33=1,Table!F9,"")</f>
        <v/>
      </c>
      <c r="E33" s="6" t="str">
        <f>IF($C33=1,Table!G9,"")</f>
        <v/>
      </c>
      <c r="F33" s="6" t="str">
        <f>IF($C33=1,Table!H9,"")</f>
        <v/>
      </c>
      <c r="G33" s="6" t="str">
        <f t="shared" ref="G33:G55" si="3">IF($C33=1,B33,"")</f>
        <v/>
      </c>
      <c r="H33" s="6" t="str">
        <f>IF($C33=1,Table!J9,"")</f>
        <v/>
      </c>
      <c r="I33" s="6" t="str">
        <f>IF($C33=1,Table!K9,"")</f>
        <v/>
      </c>
      <c r="J33" s="6" t="str">
        <f>IF($C33=1,Table!L9,"")</f>
        <v/>
      </c>
      <c r="K33" s="6" t="str">
        <f>IF($C33=1,Table!M9,"")</f>
        <v/>
      </c>
      <c r="L33" s="6" t="str">
        <f>IF($C33=1,Table!N9,"")</f>
        <v/>
      </c>
      <c r="M33" s="39" t="str">
        <f>IF(C33=1,((Table!K9-Table!L9)/NORMSINV(0.3))^2,"")</f>
        <v/>
      </c>
    </row>
    <row r="34" spans="1:13" x14ac:dyDescent="0.2">
      <c r="A34">
        <f t="shared" ref="A34:A55" si="4">A33+1</f>
        <v>3</v>
      </c>
      <c r="B34" s="47">
        <f>MAX(0,Table!I10-75)</f>
        <v>0</v>
      </c>
      <c r="C34" t="str">
        <f t="shared" si="2"/>
        <v/>
      </c>
      <c r="D34" s="6" t="str">
        <f>IF($C34=1,Table!F10,"")</f>
        <v/>
      </c>
      <c r="E34" s="6" t="str">
        <f>IF($C34=1,Table!G10,"")</f>
        <v/>
      </c>
      <c r="F34" s="6" t="str">
        <f>IF($C34=1,Table!H10,"")</f>
        <v/>
      </c>
      <c r="G34" s="6" t="str">
        <f t="shared" si="3"/>
        <v/>
      </c>
      <c r="H34" s="6" t="str">
        <f>IF($C34=1,Table!J10,"")</f>
        <v/>
      </c>
      <c r="I34" s="6" t="str">
        <f>IF($C34=1,Table!K10,"")</f>
        <v/>
      </c>
      <c r="J34" s="6" t="str">
        <f>IF($C34=1,Table!L10,"")</f>
        <v/>
      </c>
      <c r="K34" s="6" t="str">
        <f>IF($C34=1,Table!M10,"")</f>
        <v/>
      </c>
      <c r="L34" s="6" t="str">
        <f>IF($C34=1,Table!N10,"")</f>
        <v/>
      </c>
      <c r="M34" s="39" t="str">
        <f>IF(C34=1,((Table!K10-Table!L10)/NORMSINV(0.3))^2,"")</f>
        <v/>
      </c>
    </row>
    <row r="35" spans="1:13" x14ac:dyDescent="0.2">
      <c r="A35">
        <f t="shared" si="4"/>
        <v>4</v>
      </c>
      <c r="B35" s="47">
        <f>MAX(0,Table!I11-75)</f>
        <v>0</v>
      </c>
      <c r="C35" t="str">
        <f t="shared" si="2"/>
        <v/>
      </c>
      <c r="D35" s="6" t="str">
        <f>IF($C35=1,Table!F11,"")</f>
        <v/>
      </c>
      <c r="E35" s="6" t="str">
        <f>IF($C35=1,Table!G11,"")</f>
        <v/>
      </c>
      <c r="F35" s="6" t="str">
        <f>IF($C35=1,Table!H11,"")</f>
        <v/>
      </c>
      <c r="G35" s="6" t="str">
        <f t="shared" si="3"/>
        <v/>
      </c>
      <c r="H35" s="6" t="str">
        <f>IF($C35=1,Table!J11,"")</f>
        <v/>
      </c>
      <c r="I35" s="6" t="str">
        <f>IF($C35=1,Table!K11,"")</f>
        <v/>
      </c>
      <c r="J35" s="6" t="str">
        <f>IF($C35=1,Table!L11,"")</f>
        <v/>
      </c>
      <c r="K35" s="6" t="str">
        <f>IF($C35=1,Table!M11,"")</f>
        <v/>
      </c>
      <c r="L35" s="6" t="str">
        <f>IF($C35=1,Table!N11,"")</f>
        <v/>
      </c>
      <c r="M35" s="39" t="str">
        <f>IF(C35=1,((Table!K11-Table!L11)/NORMSINV(0.3))^2,"")</f>
        <v/>
      </c>
    </row>
    <row r="36" spans="1:13" x14ac:dyDescent="0.2">
      <c r="A36">
        <f t="shared" si="4"/>
        <v>5</v>
      </c>
      <c r="B36" s="47">
        <f>MAX(0,Table!I12-75)</f>
        <v>0</v>
      </c>
      <c r="C36" t="str">
        <f t="shared" si="2"/>
        <v/>
      </c>
      <c r="D36" s="6" t="str">
        <f>IF($C36=1,Table!F12,"")</f>
        <v/>
      </c>
      <c r="E36" s="6" t="str">
        <f>IF($C36=1,Table!G12,"")</f>
        <v/>
      </c>
      <c r="F36" s="6" t="str">
        <f>IF($C36=1,Table!H12,"")</f>
        <v/>
      </c>
      <c r="G36" s="6" t="str">
        <f t="shared" si="3"/>
        <v/>
      </c>
      <c r="H36" s="6" t="str">
        <f>IF($C36=1,Table!J12,"")</f>
        <v/>
      </c>
      <c r="I36" s="6" t="str">
        <f>IF($C36=1,Table!K12,"")</f>
        <v/>
      </c>
      <c r="J36" s="6" t="str">
        <f>IF($C36=1,Table!L12,"")</f>
        <v/>
      </c>
      <c r="K36" s="6" t="str">
        <f>IF($C36=1,Table!M12,"")</f>
        <v/>
      </c>
      <c r="L36" s="6" t="str">
        <f>IF($C36=1,Table!N12,"")</f>
        <v/>
      </c>
      <c r="M36" s="39" t="str">
        <f>IF(C36=1,((Table!K12-Table!L12)/NORMSINV(0.3))^2,"")</f>
        <v/>
      </c>
    </row>
    <row r="37" spans="1:13" x14ac:dyDescent="0.2">
      <c r="A37">
        <f t="shared" si="4"/>
        <v>6</v>
      </c>
      <c r="B37" s="47">
        <f>MAX(0,Table!I13-75)</f>
        <v>0</v>
      </c>
      <c r="C37" t="str">
        <f t="shared" si="2"/>
        <v/>
      </c>
      <c r="D37" s="6" t="str">
        <f>IF($C37=1,Table!F13,"")</f>
        <v/>
      </c>
      <c r="E37" s="6" t="str">
        <f>IF($C37=1,Table!G13,"")</f>
        <v/>
      </c>
      <c r="F37" s="6" t="str">
        <f>IF($C37=1,Table!H13,"")</f>
        <v/>
      </c>
      <c r="G37" s="6" t="str">
        <f t="shared" si="3"/>
        <v/>
      </c>
      <c r="H37" s="6" t="str">
        <f>IF($C37=1,Table!J13,"")</f>
        <v/>
      </c>
      <c r="I37" s="6" t="str">
        <f>IF($C37=1,Table!K13,"")</f>
        <v/>
      </c>
      <c r="J37" s="6" t="str">
        <f>IF($C37=1,Table!L13,"")</f>
        <v/>
      </c>
      <c r="K37" s="6" t="str">
        <f>IF($C37=1,Table!M13,"")</f>
        <v/>
      </c>
      <c r="L37" s="6" t="str">
        <f>IF($C37=1,Table!N13,"")</f>
        <v/>
      </c>
      <c r="M37" s="39" t="str">
        <f>IF(C37=1,((Table!K13-Table!L13)/NORMSINV(0.3))^2,"")</f>
        <v/>
      </c>
    </row>
    <row r="38" spans="1:13" x14ac:dyDescent="0.2">
      <c r="A38">
        <f t="shared" si="4"/>
        <v>7</v>
      </c>
      <c r="B38" s="47">
        <f>MAX(0,Table!I14-75)</f>
        <v>0</v>
      </c>
      <c r="C38" t="str">
        <f t="shared" si="2"/>
        <v/>
      </c>
      <c r="D38" s="6" t="str">
        <f>IF($C38=1,Table!F14,"")</f>
        <v/>
      </c>
      <c r="E38" s="6" t="str">
        <f>IF($C38=1,Table!G14,"")</f>
        <v/>
      </c>
      <c r="F38" s="6" t="str">
        <f>IF($C38=1,Table!H14,"")</f>
        <v/>
      </c>
      <c r="G38" s="6" t="str">
        <f t="shared" si="3"/>
        <v/>
      </c>
      <c r="H38" s="6" t="str">
        <f>IF($C38=1,Table!J14,"")</f>
        <v/>
      </c>
      <c r="I38" s="6" t="str">
        <f>IF($C38=1,Table!K14,"")</f>
        <v/>
      </c>
      <c r="J38" s="6" t="str">
        <f>IF($C38=1,Table!L14,"")</f>
        <v/>
      </c>
      <c r="K38" s="6" t="str">
        <f>IF($C38=1,Table!M14,"")</f>
        <v/>
      </c>
      <c r="L38" s="6" t="str">
        <f>IF($C38=1,Table!N14,"")</f>
        <v/>
      </c>
      <c r="M38" s="39" t="str">
        <f>IF(C38=1,((Table!K14-Table!L14)/NORMSINV(0.3))^2,"")</f>
        <v/>
      </c>
    </row>
    <row r="39" spans="1:13" x14ac:dyDescent="0.2">
      <c r="A39">
        <f t="shared" si="4"/>
        <v>8</v>
      </c>
      <c r="B39" s="47">
        <f>MAX(0,Table!I15-75)</f>
        <v>0</v>
      </c>
      <c r="C39" t="str">
        <f t="shared" si="2"/>
        <v/>
      </c>
      <c r="D39" s="6" t="str">
        <f>IF($C39=1,Table!F15,"")</f>
        <v/>
      </c>
      <c r="E39" s="6" t="str">
        <f>IF($C39=1,Table!G15,"")</f>
        <v/>
      </c>
      <c r="F39" s="6" t="str">
        <f>IF($C39=1,Table!H15,"")</f>
        <v/>
      </c>
      <c r="G39" s="6" t="str">
        <f t="shared" si="3"/>
        <v/>
      </c>
      <c r="H39" s="6" t="str">
        <f>IF($C39=1,Table!J15,"")</f>
        <v/>
      </c>
      <c r="I39" s="6" t="str">
        <f>IF($C39=1,Table!K15,"")</f>
        <v/>
      </c>
      <c r="J39" s="6" t="str">
        <f>IF($C39=1,Table!L15,"")</f>
        <v/>
      </c>
      <c r="K39" s="6" t="str">
        <f>IF($C39=1,Table!M15,"")</f>
        <v/>
      </c>
      <c r="L39" s="6" t="str">
        <f>IF($C39=1,Table!N15,"")</f>
        <v/>
      </c>
      <c r="M39" s="39" t="str">
        <f>IF(C39=1,((Table!K15-Table!L15)/NORMSINV(0.3))^2,"")</f>
        <v/>
      </c>
    </row>
    <row r="40" spans="1:13" x14ac:dyDescent="0.2">
      <c r="A40">
        <f t="shared" si="4"/>
        <v>9</v>
      </c>
      <c r="B40" s="47">
        <f>MAX(0,Table!I16-75)</f>
        <v>0</v>
      </c>
      <c r="C40" t="str">
        <f t="shared" si="2"/>
        <v/>
      </c>
      <c r="D40" s="6" t="str">
        <f>IF($C40=1,Table!F16,"")</f>
        <v/>
      </c>
      <c r="E40" s="6" t="str">
        <f>IF($C40=1,Table!G16,"")</f>
        <v/>
      </c>
      <c r="F40" s="6" t="str">
        <f>IF($C40=1,Table!H16,"")</f>
        <v/>
      </c>
      <c r="G40" s="6" t="str">
        <f t="shared" si="3"/>
        <v/>
      </c>
      <c r="H40" s="6" t="str">
        <f>IF($C40=1,Table!J16,"")</f>
        <v/>
      </c>
      <c r="I40" s="6" t="str">
        <f>IF($C40=1,Table!K16,"")</f>
        <v/>
      </c>
      <c r="J40" s="6" t="str">
        <f>IF($C40=1,Table!L16,"")</f>
        <v/>
      </c>
      <c r="K40" s="6" t="str">
        <f>IF($C40=1,Table!M16,"")</f>
        <v/>
      </c>
      <c r="L40" s="6" t="str">
        <f>IF($C40=1,Table!N16,"")</f>
        <v/>
      </c>
      <c r="M40" s="39" t="str">
        <f>IF(C40=1,((Table!K16-Table!L16)/NORMSINV(0.3))^2,"")</f>
        <v/>
      </c>
    </row>
    <row r="41" spans="1:13" x14ac:dyDescent="0.2">
      <c r="A41">
        <f t="shared" si="4"/>
        <v>10</v>
      </c>
      <c r="B41" s="47">
        <f>MAX(0,Table!I17-75)</f>
        <v>0</v>
      </c>
      <c r="C41" t="str">
        <f t="shared" si="2"/>
        <v/>
      </c>
      <c r="D41" s="6" t="str">
        <f>IF($C41=1,Table!F17,"")</f>
        <v/>
      </c>
      <c r="E41" s="6" t="str">
        <f>IF($C41=1,Table!G17,"")</f>
        <v/>
      </c>
      <c r="F41" s="6" t="str">
        <f>IF($C41=1,Table!H17,"")</f>
        <v/>
      </c>
      <c r="G41" s="6" t="str">
        <f t="shared" si="3"/>
        <v/>
      </c>
      <c r="H41" s="6" t="str">
        <f>IF($C41=1,Table!J17,"")</f>
        <v/>
      </c>
      <c r="I41" s="6" t="str">
        <f>IF($C41=1,Table!K17,"")</f>
        <v/>
      </c>
      <c r="J41" s="6" t="str">
        <f>IF($C41=1,Table!L17,"")</f>
        <v/>
      </c>
      <c r="K41" s="6" t="str">
        <f>IF($C41=1,Table!M17,"")</f>
        <v/>
      </c>
      <c r="L41" s="6" t="str">
        <f>IF($C41=1,Table!N17,"")</f>
        <v/>
      </c>
      <c r="M41" s="39" t="str">
        <f>IF(C41=1,((Table!K17-Table!L17)/NORMSINV(0.3))^2,"")</f>
        <v/>
      </c>
    </row>
    <row r="42" spans="1:13" x14ac:dyDescent="0.2">
      <c r="A42">
        <f t="shared" si="4"/>
        <v>11</v>
      </c>
      <c r="B42" s="47">
        <f>MAX(0,Table!I18-75)</f>
        <v>3.9789999999999992</v>
      </c>
      <c r="C42" t="str">
        <f t="shared" si="2"/>
        <v/>
      </c>
      <c r="D42" s="6" t="str">
        <f>IF($C42=1,Table!F18,"")</f>
        <v/>
      </c>
      <c r="E42" s="6" t="str">
        <f>IF($C42=1,Table!G18,"")</f>
        <v/>
      </c>
      <c r="F42" s="6" t="str">
        <f>IF($C42=1,Table!H18,"")</f>
        <v/>
      </c>
      <c r="G42" s="6" t="str">
        <f t="shared" si="3"/>
        <v/>
      </c>
      <c r="H42" s="6" t="str">
        <f>IF($C42=1,Table!J18,"")</f>
        <v/>
      </c>
      <c r="I42" s="6" t="str">
        <f>IF($C42=1,Table!K18,"")</f>
        <v/>
      </c>
      <c r="J42" s="6" t="str">
        <f>IF($C42=1,Table!L18,"")</f>
        <v/>
      </c>
      <c r="K42" s="6" t="str">
        <f>IF($C42=1,Table!M18,"")</f>
        <v/>
      </c>
      <c r="L42" s="6" t="str">
        <f>IF($C42=1,Table!N18,"")</f>
        <v/>
      </c>
      <c r="M42" s="39" t="str">
        <f>IF(C42=1,((Table!K18-Table!L18)/NORMSINV(0.3))^2,"")</f>
        <v/>
      </c>
    </row>
    <row r="43" spans="1:13" x14ac:dyDescent="0.2">
      <c r="A43">
        <f t="shared" si="4"/>
        <v>12</v>
      </c>
      <c r="B43" s="47">
        <f>MAX(0,Table!I19-75)</f>
        <v>8.9387700000000052</v>
      </c>
      <c r="C43" t="str">
        <f t="shared" si="2"/>
        <v/>
      </c>
      <c r="D43" s="6" t="str">
        <f>IF($C43=1,Table!F19,"")</f>
        <v/>
      </c>
      <c r="E43" s="6" t="str">
        <f>IF($C43=1,Table!G19,"")</f>
        <v/>
      </c>
      <c r="F43" s="6" t="str">
        <f>IF($C43=1,Table!H19,"")</f>
        <v/>
      </c>
      <c r="G43" s="6" t="str">
        <f t="shared" si="3"/>
        <v/>
      </c>
      <c r="H43" s="6" t="str">
        <f>IF($C43=1,Table!J19,"")</f>
        <v/>
      </c>
      <c r="I43" s="6" t="str">
        <f>IF($C43=1,Table!K19,"")</f>
        <v/>
      </c>
      <c r="J43" s="6" t="str">
        <f>IF($C43=1,Table!L19,"")</f>
        <v/>
      </c>
      <c r="K43" s="6" t="str">
        <f>IF($C43=1,Table!M19,"")</f>
        <v/>
      </c>
      <c r="L43" s="6" t="str">
        <f>IF($C43=1,Table!N19,"")</f>
        <v/>
      </c>
      <c r="M43" s="39" t="str">
        <f>IF(C43=1,((Table!K19-Table!L19)/NORMSINV(0.3))^2,"")</f>
        <v/>
      </c>
    </row>
    <row r="44" spans="1:13" x14ac:dyDescent="0.2">
      <c r="A44">
        <f t="shared" si="4"/>
        <v>13</v>
      </c>
      <c r="B44" s="47">
        <f>MAX(0,Table!I20-75)</f>
        <v>12.815340000000006</v>
      </c>
      <c r="C44" t="str">
        <f t="shared" si="2"/>
        <v/>
      </c>
      <c r="D44" s="6" t="str">
        <f>IF($C44=1,Table!F20,"")</f>
        <v/>
      </c>
      <c r="E44" s="6" t="str">
        <f>IF($C44=1,Table!G20,"")</f>
        <v/>
      </c>
      <c r="F44" s="6" t="str">
        <f>IF($C44=1,Table!H20,"")</f>
        <v/>
      </c>
      <c r="G44" s="6" t="str">
        <f t="shared" si="3"/>
        <v/>
      </c>
      <c r="H44" s="6" t="str">
        <f>IF($C44=1,Table!J20,"")</f>
        <v/>
      </c>
      <c r="I44" s="6" t="str">
        <f>IF($C44=1,Table!K20,"")</f>
        <v/>
      </c>
      <c r="J44" s="6" t="str">
        <f>IF($C44=1,Table!L20,"")</f>
        <v/>
      </c>
      <c r="K44" s="6" t="str">
        <f>IF($C44=1,Table!M20,"")</f>
        <v/>
      </c>
      <c r="L44" s="6" t="str">
        <f>IF($C44=1,Table!N20,"")</f>
        <v/>
      </c>
      <c r="M44" s="39" t="str">
        <f>IF(C44=1,((Table!K20-Table!L20)/NORMSINV(0.3))^2,"")</f>
        <v/>
      </c>
    </row>
    <row r="45" spans="1:13" x14ac:dyDescent="0.2">
      <c r="A45">
        <f t="shared" si="4"/>
        <v>14</v>
      </c>
      <c r="B45" s="47">
        <f>MAX(0,Table!I21-75)</f>
        <v>14.632230000000007</v>
      </c>
      <c r="C45">
        <f t="shared" si="2"/>
        <v>1</v>
      </c>
      <c r="D45" s="6">
        <f>IF($C45=1,Table!F21,"")</f>
        <v>874.53809999999999</v>
      </c>
      <c r="E45" s="6">
        <f>IF($C45=1,Table!G21,"")</f>
        <v>351.77699999999993</v>
      </c>
      <c r="F45" s="6">
        <f>IF($C45=1,Table!H21,"")</f>
        <v>522.76110000000006</v>
      </c>
      <c r="G45" s="6">
        <f t="shared" si="3"/>
        <v>14.632230000000007</v>
      </c>
      <c r="H45" s="6">
        <f>IF($C45=1,Table!J21,"")</f>
        <v>517.5598</v>
      </c>
      <c r="I45" s="6">
        <f>IF($C45=1,Table!K21,"")</f>
        <v>520.63279999999997</v>
      </c>
      <c r="J45" s="6">
        <f>IF($C45=1,Table!L21,"")</f>
        <v>522.76110000000006</v>
      </c>
      <c r="K45" s="6">
        <f>IF($C45=1,Table!M21,"")</f>
        <v>524.8895</v>
      </c>
      <c r="L45" s="6">
        <f>IF($C45=1,Table!N21,"")</f>
        <v>527.96249999999998</v>
      </c>
      <c r="M45" s="39">
        <f>IF(C45=1,((Table!K21-Table!L21)/NORMSINV(0.3))^2,"")</f>
        <v>16.471739860182005</v>
      </c>
    </row>
    <row r="46" spans="1:13" x14ac:dyDescent="0.2">
      <c r="A46">
        <f t="shared" si="4"/>
        <v>15</v>
      </c>
      <c r="B46" s="47">
        <f>MAX(0,Table!I22-75)</f>
        <v>16.011470000000003</v>
      </c>
      <c r="C46">
        <f t="shared" si="2"/>
        <v>1</v>
      </c>
      <c r="D46" s="6">
        <f>IF($C46=1,Table!F22,"")</f>
        <v>864.09640000000002</v>
      </c>
      <c r="E46" s="6">
        <f>IF($C46=1,Table!G22,"")</f>
        <v>172.03449999999998</v>
      </c>
      <c r="F46" s="6">
        <f>IF($C46=1,Table!H22,"")</f>
        <v>692.06190000000004</v>
      </c>
      <c r="G46" s="6">
        <f t="shared" si="3"/>
        <v>16.011470000000003</v>
      </c>
      <c r="H46" s="6">
        <f>IF($C46=1,Table!J22,"")</f>
        <v>686.53240000000005</v>
      </c>
      <c r="I46" s="6">
        <f>IF($C46=1,Table!K22,"")</f>
        <v>689.79930000000002</v>
      </c>
      <c r="J46" s="6">
        <f>IF($C46=1,Table!L22,"")</f>
        <v>692.06190000000004</v>
      </c>
      <c r="K46" s="6">
        <f>IF($C46=1,Table!M22,"")</f>
        <v>694.32449999999994</v>
      </c>
      <c r="L46" s="6">
        <f>IF($C46=1,Table!N22,"")</f>
        <v>697.59140000000002</v>
      </c>
      <c r="M46" s="39">
        <f>IF(C46=1,((Table!K22-Table!L22)/NORMSINV(0.3))^2,"")</f>
        <v>18.616127739677001</v>
      </c>
    </row>
    <row r="47" spans="1:13" x14ac:dyDescent="0.2">
      <c r="A47">
        <f t="shared" si="4"/>
        <v>16</v>
      </c>
      <c r="B47" s="47">
        <f>MAX(0,Table!I23-75)</f>
        <v>17.055279999999996</v>
      </c>
      <c r="C47">
        <f t="shared" si="2"/>
        <v>1</v>
      </c>
      <c r="D47" s="6">
        <f>IF($C47=1,Table!F23,"")</f>
        <v>853.23410000000001</v>
      </c>
      <c r="E47" s="6">
        <f>IF($C47=1,Table!G23,"")</f>
        <v>229.50980000000004</v>
      </c>
      <c r="F47" s="6">
        <f>IF($C47=1,Table!H23,"")</f>
        <v>623.72429999999997</v>
      </c>
      <c r="G47" s="6">
        <f t="shared" si="3"/>
        <v>17.055279999999996</v>
      </c>
      <c r="H47" s="6">
        <f>IF($C47=1,Table!J23,"")</f>
        <v>618.02030000000002</v>
      </c>
      <c r="I47" s="6">
        <f>IF($C47=1,Table!K23,"")</f>
        <v>621.39030000000002</v>
      </c>
      <c r="J47" s="6">
        <f>IF($C47=1,Table!L23,"")</f>
        <v>623.72429999999997</v>
      </c>
      <c r="K47" s="6">
        <f>IF($C47=1,Table!M23,"")</f>
        <v>626.05830000000003</v>
      </c>
      <c r="L47" s="6">
        <f>IF($C47=1,Table!N23,"")</f>
        <v>629.42830000000004</v>
      </c>
      <c r="M47" s="39">
        <f>IF(C47=1,((Table!K23-Table!L23)/NORMSINV(0.3))^2,"")</f>
        <v>19.809590052062966</v>
      </c>
    </row>
    <row r="48" spans="1:13" x14ac:dyDescent="0.2">
      <c r="A48">
        <f t="shared" si="4"/>
        <v>17</v>
      </c>
      <c r="B48" s="47">
        <f>MAX(0,Table!I24-75)</f>
        <v>17.517629999999997</v>
      </c>
      <c r="C48" t="str">
        <f t="shared" si="2"/>
        <v/>
      </c>
      <c r="D48" s="6" t="str">
        <f>IF($C48=1,Table!F24,"")</f>
        <v/>
      </c>
      <c r="E48" s="6" t="str">
        <f>IF($C48=1,Table!G24,"")</f>
        <v/>
      </c>
      <c r="F48" s="6" t="str">
        <f>IF($C48=1,Table!H24,"")</f>
        <v/>
      </c>
      <c r="G48" s="6" t="str">
        <f t="shared" si="3"/>
        <v/>
      </c>
      <c r="H48" s="6" t="str">
        <f>IF($C48=1,Table!J24,"")</f>
        <v/>
      </c>
      <c r="I48" s="6" t="str">
        <f>IF($C48=1,Table!K24,"")</f>
        <v/>
      </c>
      <c r="J48" s="6" t="str">
        <f>IF($C48=1,Table!L24,"")</f>
        <v/>
      </c>
      <c r="K48" s="6" t="str">
        <f>IF($C48=1,Table!M24,"")</f>
        <v/>
      </c>
      <c r="L48" s="6" t="str">
        <f>IF($C48=1,Table!N24,"")</f>
        <v/>
      </c>
      <c r="M48" s="39" t="str">
        <f>IF(C48=1,((Table!K24-Table!L24)/NORMSINV(0.3))^2,"")</f>
        <v/>
      </c>
    </row>
    <row r="49" spans="1:13" x14ac:dyDescent="0.2">
      <c r="A49">
        <f t="shared" si="4"/>
        <v>18</v>
      </c>
      <c r="B49" s="47">
        <f>MAX(0,Table!I25-75)</f>
        <v>16.736270000000005</v>
      </c>
      <c r="C49" t="str">
        <f t="shared" si="2"/>
        <v/>
      </c>
      <c r="D49" s="6" t="str">
        <f>IF($C49=1,Table!F25,"")</f>
        <v/>
      </c>
      <c r="E49" s="6" t="str">
        <f>IF($C49=1,Table!G25,"")</f>
        <v/>
      </c>
      <c r="F49" s="6" t="str">
        <f>IF($C49=1,Table!H25,"")</f>
        <v/>
      </c>
      <c r="G49" s="6" t="str">
        <f t="shared" si="3"/>
        <v/>
      </c>
      <c r="H49" s="6" t="str">
        <f>IF($C49=1,Table!J25,"")</f>
        <v/>
      </c>
      <c r="I49" s="6" t="str">
        <f>IF($C49=1,Table!K25,"")</f>
        <v/>
      </c>
      <c r="J49" s="6" t="str">
        <f>IF($C49=1,Table!L25,"")</f>
        <v/>
      </c>
      <c r="K49" s="6" t="str">
        <f>IF($C49=1,Table!M25,"")</f>
        <v/>
      </c>
      <c r="L49" s="6" t="str">
        <f>IF($C49=1,Table!N25,"")</f>
        <v/>
      </c>
      <c r="M49" s="39" t="str">
        <f>IF(C49=1,((Table!K25-Table!L25)/NORMSINV(0.3))^2,"")</f>
        <v/>
      </c>
    </row>
    <row r="50" spans="1:13" x14ac:dyDescent="0.2">
      <c r="A50">
        <f t="shared" si="4"/>
        <v>19</v>
      </c>
      <c r="B50" s="47">
        <f>MAX(0,Table!I26-75)</f>
        <v>13.689400000000006</v>
      </c>
      <c r="C50" t="str">
        <f t="shared" si="2"/>
        <v/>
      </c>
      <c r="D50" s="6" t="str">
        <f>IF($C50=1,Table!F26,"")</f>
        <v/>
      </c>
      <c r="E50" s="6" t="str">
        <f>IF($C50=1,Table!G26,"")</f>
        <v/>
      </c>
      <c r="F50" s="6" t="str">
        <f>IF($C50=1,Table!H26,"")</f>
        <v/>
      </c>
      <c r="G50" s="6" t="str">
        <f t="shared" si="3"/>
        <v/>
      </c>
      <c r="H50" s="6" t="str">
        <f>IF($C50=1,Table!J26,"")</f>
        <v/>
      </c>
      <c r="I50" s="6" t="str">
        <f>IF($C50=1,Table!K26,"")</f>
        <v/>
      </c>
      <c r="J50" s="6" t="str">
        <f>IF($C50=1,Table!L26,"")</f>
        <v/>
      </c>
      <c r="K50" s="6" t="str">
        <f>IF($C50=1,Table!M26,"")</f>
        <v/>
      </c>
      <c r="L50" s="6" t="str">
        <f>IF($C50=1,Table!N26,"")</f>
        <v/>
      </c>
      <c r="M50" s="39" t="str">
        <f>IF(C50=1,((Table!K26-Table!L26)/NORMSINV(0.3))^2,"")</f>
        <v/>
      </c>
    </row>
    <row r="51" spans="1:13" x14ac:dyDescent="0.2">
      <c r="A51">
        <f t="shared" si="4"/>
        <v>20</v>
      </c>
      <c r="B51" s="47">
        <f>MAX(0,Table!I27-75)</f>
        <v>9.8582499999999982</v>
      </c>
      <c r="C51" t="str">
        <f t="shared" si="2"/>
        <v/>
      </c>
      <c r="D51" s="6" t="str">
        <f>IF($C51=1,Table!F27,"")</f>
        <v/>
      </c>
      <c r="E51" s="6" t="str">
        <f>IF($C51=1,Table!G27,"")</f>
        <v/>
      </c>
      <c r="F51" s="6" t="str">
        <f>IF($C51=1,Table!H27,"")</f>
        <v/>
      </c>
      <c r="G51" s="6" t="str">
        <f t="shared" si="3"/>
        <v/>
      </c>
      <c r="H51" s="6" t="str">
        <f>IF($C51=1,Table!J27,"")</f>
        <v/>
      </c>
      <c r="I51" s="6" t="str">
        <f>IF($C51=1,Table!K27,"")</f>
        <v/>
      </c>
      <c r="J51" s="6" t="str">
        <f>IF($C51=1,Table!L27,"")</f>
        <v/>
      </c>
      <c r="K51" s="6" t="str">
        <f>IF($C51=1,Table!M27,"")</f>
        <v/>
      </c>
      <c r="L51" s="6" t="str">
        <f>IF($C51=1,Table!N27,"")</f>
        <v/>
      </c>
      <c r="M51" s="39" t="str">
        <f>IF(C51=1,((Table!K27-Table!L27)/NORMSINV(0.3))^2,"")</f>
        <v/>
      </c>
    </row>
    <row r="52" spans="1:13" x14ac:dyDescent="0.2">
      <c r="A52">
        <f t="shared" si="4"/>
        <v>21</v>
      </c>
      <c r="B52" s="47">
        <f>MAX(0,Table!I28-75)</f>
        <v>6.2188799999999986</v>
      </c>
      <c r="C52" t="str">
        <f t="shared" si="2"/>
        <v/>
      </c>
      <c r="D52" s="6" t="str">
        <f>IF($C52=1,Table!F28,"")</f>
        <v/>
      </c>
      <c r="E52" s="6" t="str">
        <f>IF($C52=1,Table!G28,"")</f>
        <v/>
      </c>
      <c r="F52" s="6" t="str">
        <f>IF($C52=1,Table!H28,"")</f>
        <v/>
      </c>
      <c r="G52" s="6" t="str">
        <f t="shared" si="3"/>
        <v/>
      </c>
      <c r="H52" s="6" t="str">
        <f>IF($C52=1,Table!J28,"")</f>
        <v/>
      </c>
      <c r="I52" s="6" t="str">
        <f>IF($C52=1,Table!K28,"")</f>
        <v/>
      </c>
      <c r="J52" s="6" t="str">
        <f>IF($C52=1,Table!L28,"")</f>
        <v/>
      </c>
      <c r="K52" s="6" t="str">
        <f>IF($C52=1,Table!M28,"")</f>
        <v/>
      </c>
      <c r="L52" s="6" t="str">
        <f>IF($C52=1,Table!N28,"")</f>
        <v/>
      </c>
      <c r="M52" s="39" t="str">
        <f>IF(C52=1,((Table!K28-Table!L28)/NORMSINV(0.3))^2,"")</f>
        <v/>
      </c>
    </row>
    <row r="53" spans="1:13" x14ac:dyDescent="0.2">
      <c r="A53">
        <f t="shared" si="4"/>
        <v>22</v>
      </c>
      <c r="B53" s="47">
        <f>MAX(0,Table!I29-75)</f>
        <v>3.6265400000000056</v>
      </c>
      <c r="C53" t="str">
        <f t="shared" si="2"/>
        <v/>
      </c>
      <c r="D53" s="6" t="str">
        <f>IF($C53=1,Table!F29,"")</f>
        <v/>
      </c>
      <c r="E53" s="6" t="str">
        <f>IF($C53=1,Table!G29,"")</f>
        <v/>
      </c>
      <c r="F53" s="6" t="str">
        <f>IF($C53=1,Table!H29,"")</f>
        <v/>
      </c>
      <c r="G53" s="6" t="str">
        <f t="shared" si="3"/>
        <v/>
      </c>
      <c r="H53" s="6" t="str">
        <f>IF($C53=1,Table!J29,"")</f>
        <v/>
      </c>
      <c r="I53" s="6" t="str">
        <f>IF($C53=1,Table!K29,"")</f>
        <v/>
      </c>
      <c r="J53" s="6" t="str">
        <f>IF($C53=1,Table!L29,"")</f>
        <v/>
      </c>
      <c r="K53" s="6" t="str">
        <f>IF($C53=1,Table!M29,"")</f>
        <v/>
      </c>
      <c r="L53" s="6" t="str">
        <f>IF($C53=1,Table!N29,"")</f>
        <v/>
      </c>
      <c r="M53" s="39" t="str">
        <f>IF(C53=1,((Table!K29-Table!L29)/NORMSINV(0.3))^2,"")</f>
        <v/>
      </c>
    </row>
    <row r="54" spans="1:13" x14ac:dyDescent="0.2">
      <c r="A54">
        <f t="shared" si="4"/>
        <v>23</v>
      </c>
      <c r="B54" s="47">
        <f>MAX(0,Table!I30-75)</f>
        <v>2.1244599999999991</v>
      </c>
      <c r="C54" t="str">
        <f t="shared" si="2"/>
        <v/>
      </c>
      <c r="D54" s="6" t="str">
        <f>IF($C54=1,Table!F30,"")</f>
        <v/>
      </c>
      <c r="E54" s="6" t="str">
        <f>IF($C54=1,Table!G30,"")</f>
        <v/>
      </c>
      <c r="F54" s="6" t="str">
        <f>IF($C54=1,Table!H30,"")</f>
        <v/>
      </c>
      <c r="G54" s="6" t="str">
        <f t="shared" si="3"/>
        <v/>
      </c>
      <c r="H54" s="6" t="str">
        <f>IF($C54=1,Table!J30,"")</f>
        <v/>
      </c>
      <c r="I54" s="6" t="str">
        <f>IF($C54=1,Table!K30,"")</f>
        <v/>
      </c>
      <c r="J54" s="6" t="str">
        <f>IF($C54=1,Table!L30,"")</f>
        <v/>
      </c>
      <c r="K54" s="6" t="str">
        <f>IF($C54=1,Table!M30,"")</f>
        <v/>
      </c>
      <c r="L54" s="6" t="str">
        <f>IF($C54=1,Table!N30,"")</f>
        <v/>
      </c>
      <c r="M54" s="39" t="str">
        <f>IF(C54=1,((Table!K30-Table!L30)/NORMSINV(0.3))^2,"")</f>
        <v/>
      </c>
    </row>
    <row r="55" spans="1:13" x14ac:dyDescent="0.2">
      <c r="A55">
        <f t="shared" si="4"/>
        <v>24</v>
      </c>
      <c r="B55" s="47">
        <f>MAX(0,Table!I31-75)</f>
        <v>0.98805000000000121</v>
      </c>
      <c r="C55" t="str">
        <f t="shared" si="2"/>
        <v/>
      </c>
      <c r="D55" s="6" t="str">
        <f>IF($C55=1,Table!F31,"")</f>
        <v/>
      </c>
      <c r="E55" s="6" t="str">
        <f>IF($C55=1,Table!G31,"")</f>
        <v/>
      </c>
      <c r="F55" s="6" t="str">
        <f>IF($C55=1,Table!H31,"")</f>
        <v/>
      </c>
      <c r="G55" s="6" t="str">
        <f t="shared" si="3"/>
        <v/>
      </c>
      <c r="H55" s="6" t="str">
        <f>IF($C55=1,Table!J31,"")</f>
        <v/>
      </c>
      <c r="I55" s="6" t="str">
        <f>IF($C55=1,Table!K31,"")</f>
        <v/>
      </c>
      <c r="J55" s="6" t="str">
        <f>IF($C55=1,Table!L31,"")</f>
        <v/>
      </c>
      <c r="K55" s="6" t="str">
        <f>IF($C55=1,Table!M31,"")</f>
        <v/>
      </c>
      <c r="L55" s="6" t="str">
        <f>IF($C55=1,Table!N31,"")</f>
        <v/>
      </c>
      <c r="M55" s="39" t="str">
        <f>IF(C55=1,((Table!K31-Table!L31)/NORMSINV(0.3))^2,"")</f>
        <v/>
      </c>
    </row>
    <row r="56" spans="1:13" x14ac:dyDescent="0.2">
      <c r="A56" s="41" t="s">
        <v>224</v>
      </c>
      <c r="D56">
        <f>AVERAGE(D32:D55)</f>
        <v>863.95620000000008</v>
      </c>
      <c r="E56">
        <f>AVERAGE(E32:E55)</f>
        <v>251.10709999999997</v>
      </c>
      <c r="F56">
        <f>AVERAGE(F32:F55)</f>
        <v>612.84910000000002</v>
      </c>
      <c r="G56" s="6">
        <f>SUM(G32:G55)</f>
        <v>47.698980000000006</v>
      </c>
      <c r="H56">
        <f t="shared" ref="H56:L56" si="5">AVERAGE(H32:H55)</f>
        <v>607.37083333333339</v>
      </c>
      <c r="I56">
        <f t="shared" si="5"/>
        <v>610.60746666666671</v>
      </c>
      <c r="J56">
        <f t="shared" si="5"/>
        <v>612.84910000000002</v>
      </c>
      <c r="K56">
        <f t="shared" si="5"/>
        <v>615.0907666666667</v>
      </c>
      <c r="L56">
        <f t="shared" si="5"/>
        <v>618.32740000000001</v>
      </c>
      <c r="M56" s="47">
        <f>SQRT((1/SUM(C32:C55)^2*SUM(M32:M55)))</f>
        <v>2.4697606193475958</v>
      </c>
    </row>
    <row r="57" spans="1:13" x14ac:dyDescent="0.2">
      <c r="G57" s="6"/>
      <c r="H57" s="6"/>
    </row>
    <row r="58" spans="1:13" x14ac:dyDescent="0.2">
      <c r="B58" t="s">
        <v>242</v>
      </c>
      <c r="C58">
        <v>0.1</v>
      </c>
      <c r="D58">
        <v>0.3</v>
      </c>
      <c r="E58">
        <v>0.5</v>
      </c>
      <c r="F58">
        <v>0.7</v>
      </c>
      <c r="G58" s="6">
        <v>0.9</v>
      </c>
      <c r="H58" s="6"/>
    </row>
    <row r="59" spans="1:13" x14ac:dyDescent="0.2">
      <c r="A59" s="41" t="s">
        <v>243</v>
      </c>
      <c r="B59">
        <f>IF(Result_type="Aggregate Impact",B60,B61)</f>
        <v>6.0945830000000001</v>
      </c>
      <c r="C59" s="47">
        <f>NORMINV(C58,$F$56,$B$59)</f>
        <v>605.03857761500853</v>
      </c>
      <c r="D59" s="47">
        <f t="shared" ref="D59:G59" si="6">NORMINV(D58,$F$56,$B$59)</f>
        <v>609.65309755005831</v>
      </c>
      <c r="E59" s="47">
        <f t="shared" si="6"/>
        <v>612.84910000000002</v>
      </c>
      <c r="F59" s="47">
        <f t="shared" si="6"/>
        <v>616.04510244994174</v>
      </c>
      <c r="G59" s="47">
        <f t="shared" si="6"/>
        <v>620.65962238499151</v>
      </c>
      <c r="H59" s="6"/>
    </row>
    <row r="60" spans="1:13" x14ac:dyDescent="0.2">
      <c r="A60" s="41" t="s">
        <v>244</v>
      </c>
      <c r="B60">
        <f>DGET(data,"stderr_evt_hr",_xlnm.Criteria)</f>
        <v>6.0945830000000001</v>
      </c>
      <c r="G60" s="6"/>
      <c r="H60" s="6"/>
    </row>
    <row r="61" spans="1:13" x14ac:dyDescent="0.2">
      <c r="A61" s="41" t="s">
        <v>245</v>
      </c>
      <c r="B61">
        <f>B60*1000/Bid</f>
        <v>9.9911196721311484</v>
      </c>
      <c r="G61" s="6"/>
      <c r="H61" s="6"/>
    </row>
    <row r="62" spans="1:13" x14ac:dyDescent="0.2">
      <c r="G62" s="6"/>
      <c r="H62" s="6"/>
    </row>
    <row r="63" spans="1:13" x14ac:dyDescent="0.2">
      <c r="G63" s="6"/>
      <c r="H63" s="6"/>
    </row>
    <row r="64" spans="1:13" x14ac:dyDescent="0.2">
      <c r="G64" s="6"/>
      <c r="H64" s="6"/>
    </row>
    <row r="65" spans="7:8" x14ac:dyDescent="0.2">
      <c r="G65" s="6"/>
      <c r="H65" s="6"/>
    </row>
    <row r="66" spans="7:8" x14ac:dyDescent="0.2">
      <c r="G66" s="6"/>
      <c r="H66" s="6"/>
    </row>
    <row r="67" spans="7:8" x14ac:dyDescent="0.2">
      <c r="G67" s="6"/>
      <c r="H67" s="6"/>
    </row>
    <row r="68" spans="7:8" x14ac:dyDescent="0.2">
      <c r="G68" s="6"/>
      <c r="H68" s="6"/>
    </row>
    <row r="69" spans="7:8" x14ac:dyDescent="0.2">
      <c r="G69" s="6"/>
      <c r="H69" s="6"/>
    </row>
    <row r="70" spans="7:8" x14ac:dyDescent="0.2">
      <c r="G70" s="6"/>
      <c r="H70" s="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S10242"/>
  <sheetViews>
    <sheetView zoomScaleNormal="100" workbookViewId="0">
      <pane xSplit="7" ySplit="1" topLeftCell="FO2" activePane="bottomRight" state="frozen"/>
      <selection activeCell="B10" sqref="B10:F15"/>
      <selection pane="topRight" activeCell="B10" sqref="B10:F15"/>
      <selection pane="bottomLeft" activeCell="B10" sqref="B10:F15"/>
      <selection pane="bottomRight" activeCell="FS9" sqref="FS9"/>
    </sheetView>
  </sheetViews>
  <sheetFormatPr defaultRowHeight="12.75" x14ac:dyDescent="0.2"/>
  <cols>
    <col min="1" max="1" width="31" bestFit="1" customWidth="1"/>
    <col min="2" max="2" width="16" customWidth="1"/>
    <col min="3" max="3" width="11.85546875" customWidth="1"/>
    <col min="4" max="4" width="16" customWidth="1"/>
    <col min="5" max="5" width="6" customWidth="1"/>
    <col min="6" max="6" width="7.42578125" customWidth="1"/>
    <col min="7" max="16" width="10" customWidth="1"/>
    <col min="17" max="17" width="9" customWidth="1"/>
    <col min="18" max="18" width="10" customWidth="1"/>
    <col min="19" max="19" width="9" customWidth="1"/>
    <col min="20" max="30" width="10" customWidth="1"/>
    <col min="31" max="39" width="12.85546875" customWidth="1"/>
    <col min="40" max="54" width="14" customWidth="1"/>
    <col min="55" max="63" width="12.85546875" customWidth="1"/>
    <col min="64" max="78" width="14" customWidth="1"/>
    <col min="79" max="87" width="12.85546875" customWidth="1"/>
    <col min="88" max="102" width="14" customWidth="1"/>
    <col min="103" max="111" width="12.85546875" customWidth="1"/>
    <col min="112" max="126" width="14" customWidth="1"/>
    <col min="127" max="135" width="12.85546875" customWidth="1"/>
    <col min="136" max="150" width="14" customWidth="1"/>
    <col min="151" max="159" width="9" customWidth="1"/>
    <col min="160" max="174" width="9.7109375" customWidth="1"/>
    <col min="175" max="177" width="10.140625" bestFit="1" customWidth="1"/>
  </cols>
  <sheetData>
    <row r="1" spans="1:175" x14ac:dyDescent="0.2">
      <c r="A1" s="62" t="s">
        <v>200</v>
      </c>
      <c r="B1" t="s">
        <v>203</v>
      </c>
      <c r="C1" t="s">
        <v>240</v>
      </c>
      <c r="D1" t="s">
        <v>227</v>
      </c>
      <c r="E1" s="41" t="s">
        <v>238</v>
      </c>
      <c r="F1" t="s">
        <v>167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  <c r="M1" t="s">
        <v>174</v>
      </c>
      <c r="N1" t="s">
        <v>175</v>
      </c>
      <c r="O1" t="s">
        <v>176</v>
      </c>
      <c r="P1" t="s">
        <v>177</v>
      </c>
      <c r="Q1" t="s">
        <v>178</v>
      </c>
      <c r="R1" t="s">
        <v>179</v>
      </c>
      <c r="S1" t="s">
        <v>180</v>
      </c>
      <c r="T1" t="s">
        <v>181</v>
      </c>
      <c r="U1" t="s">
        <v>182</v>
      </c>
      <c r="V1" t="s">
        <v>183</v>
      </c>
      <c r="W1" t="s">
        <v>184</v>
      </c>
      <c r="X1" t="s">
        <v>185</v>
      </c>
      <c r="Y1" t="s">
        <v>186</v>
      </c>
      <c r="Z1" t="s">
        <v>187</v>
      </c>
      <c r="AA1" t="s">
        <v>188</v>
      </c>
      <c r="AB1" t="s">
        <v>189</v>
      </c>
      <c r="AC1" t="s">
        <v>190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  <c r="BJ1" t="s">
        <v>54</v>
      </c>
      <c r="BK1" t="s">
        <v>55</v>
      </c>
      <c r="BL1" t="s">
        <v>56</v>
      </c>
      <c r="BM1" t="s">
        <v>57</v>
      </c>
      <c r="BN1" t="s">
        <v>58</v>
      </c>
      <c r="BO1" t="s">
        <v>59</v>
      </c>
      <c r="BP1" t="s">
        <v>60</v>
      </c>
      <c r="BQ1" t="s">
        <v>61</v>
      </c>
      <c r="BR1" t="s">
        <v>62</v>
      </c>
      <c r="BS1" t="s">
        <v>63</v>
      </c>
      <c r="BT1" t="s">
        <v>64</v>
      </c>
      <c r="BU1" t="s">
        <v>65</v>
      </c>
      <c r="BV1" t="s">
        <v>66</v>
      </c>
      <c r="BW1" t="s">
        <v>67</v>
      </c>
      <c r="BX1" t="s">
        <v>68</v>
      </c>
      <c r="BY1" t="s">
        <v>69</v>
      </c>
      <c r="BZ1" t="s">
        <v>70</v>
      </c>
      <c r="CA1" t="s">
        <v>71</v>
      </c>
      <c r="CB1" t="s">
        <v>72</v>
      </c>
      <c r="CC1" t="s">
        <v>73</v>
      </c>
      <c r="CD1" t="s">
        <v>74</v>
      </c>
      <c r="CE1" t="s">
        <v>75</v>
      </c>
      <c r="CF1" t="s">
        <v>76</v>
      </c>
      <c r="CG1" t="s">
        <v>77</v>
      </c>
      <c r="CH1" t="s">
        <v>78</v>
      </c>
      <c r="CI1" t="s">
        <v>79</v>
      </c>
      <c r="CJ1" t="s">
        <v>80</v>
      </c>
      <c r="CK1" t="s">
        <v>81</v>
      </c>
      <c r="CL1" t="s">
        <v>82</v>
      </c>
      <c r="CM1" t="s">
        <v>83</v>
      </c>
      <c r="CN1" t="s">
        <v>84</v>
      </c>
      <c r="CO1" t="s">
        <v>85</v>
      </c>
      <c r="CP1" t="s">
        <v>86</v>
      </c>
      <c r="CQ1" t="s">
        <v>87</v>
      </c>
      <c r="CR1" t="s">
        <v>88</v>
      </c>
      <c r="CS1" t="s">
        <v>89</v>
      </c>
      <c r="CT1" t="s">
        <v>90</v>
      </c>
      <c r="CU1" t="s">
        <v>91</v>
      </c>
      <c r="CV1" t="s">
        <v>92</v>
      </c>
      <c r="CW1" t="s">
        <v>93</v>
      </c>
      <c r="CX1" t="s">
        <v>94</v>
      </c>
      <c r="CY1" t="s">
        <v>95</v>
      </c>
      <c r="CZ1" t="s">
        <v>96</v>
      </c>
      <c r="DA1" t="s">
        <v>97</v>
      </c>
      <c r="DB1" t="s">
        <v>98</v>
      </c>
      <c r="DC1" t="s">
        <v>99</v>
      </c>
      <c r="DD1" t="s">
        <v>100</v>
      </c>
      <c r="DE1" t="s">
        <v>101</v>
      </c>
      <c r="DF1" t="s">
        <v>102</v>
      </c>
      <c r="DG1" t="s">
        <v>103</v>
      </c>
      <c r="DH1" t="s">
        <v>104</v>
      </c>
      <c r="DI1" t="s">
        <v>105</v>
      </c>
      <c r="DJ1" t="s">
        <v>106</v>
      </c>
      <c r="DK1" t="s">
        <v>107</v>
      </c>
      <c r="DL1" t="s">
        <v>108</v>
      </c>
      <c r="DM1" t="s">
        <v>109</v>
      </c>
      <c r="DN1" t="s">
        <v>110</v>
      </c>
      <c r="DO1" t="s">
        <v>111</v>
      </c>
      <c r="DP1" t="s">
        <v>112</v>
      </c>
      <c r="DQ1" t="s">
        <v>113</v>
      </c>
      <c r="DR1" t="s">
        <v>114</v>
      </c>
      <c r="DS1" t="s">
        <v>115</v>
      </c>
      <c r="DT1" t="s">
        <v>116</v>
      </c>
      <c r="DU1" t="s">
        <v>117</v>
      </c>
      <c r="DV1" t="s">
        <v>118</v>
      </c>
      <c r="DW1" t="s">
        <v>119</v>
      </c>
      <c r="DX1" t="s">
        <v>120</v>
      </c>
      <c r="DY1" t="s">
        <v>121</v>
      </c>
      <c r="DZ1" t="s">
        <v>122</v>
      </c>
      <c r="EA1" t="s">
        <v>123</v>
      </c>
      <c r="EB1" t="s">
        <v>124</v>
      </c>
      <c r="EC1" t="s">
        <v>125</v>
      </c>
      <c r="ED1" t="s">
        <v>126</v>
      </c>
      <c r="EE1" t="s">
        <v>127</v>
      </c>
      <c r="EF1" t="s">
        <v>128</v>
      </c>
      <c r="EG1" t="s">
        <v>129</v>
      </c>
      <c r="EH1" t="s">
        <v>130</v>
      </c>
      <c r="EI1" t="s">
        <v>131</v>
      </c>
      <c r="EJ1" t="s">
        <v>132</v>
      </c>
      <c r="EK1" t="s">
        <v>133</v>
      </c>
      <c r="EL1" t="s">
        <v>134</v>
      </c>
      <c r="EM1" t="s">
        <v>135</v>
      </c>
      <c r="EN1" t="s">
        <v>136</v>
      </c>
      <c r="EO1" t="s">
        <v>137</v>
      </c>
      <c r="EP1" t="s">
        <v>138</v>
      </c>
      <c r="EQ1" t="s">
        <v>139</v>
      </c>
      <c r="ER1" t="s">
        <v>140</v>
      </c>
      <c r="ES1" t="s">
        <v>141</v>
      </c>
      <c r="ET1" t="s">
        <v>142</v>
      </c>
      <c r="EU1" t="s">
        <v>143</v>
      </c>
      <c r="EV1" t="s">
        <v>144</v>
      </c>
      <c r="EW1" t="s">
        <v>145</v>
      </c>
      <c r="EX1" t="s">
        <v>146</v>
      </c>
      <c r="EY1" t="s">
        <v>147</v>
      </c>
      <c r="EZ1" t="s">
        <v>148</v>
      </c>
      <c r="FA1" t="s">
        <v>149</v>
      </c>
      <c r="FB1" t="s">
        <v>150</v>
      </c>
      <c r="FC1" t="s">
        <v>151</v>
      </c>
      <c r="FD1" t="s">
        <v>152</v>
      </c>
      <c r="FE1" t="s">
        <v>153</v>
      </c>
      <c r="FF1" t="s">
        <v>154</v>
      </c>
      <c r="FG1" t="s">
        <v>155</v>
      </c>
      <c r="FH1" t="s">
        <v>156</v>
      </c>
      <c r="FI1" t="s">
        <v>157</v>
      </c>
      <c r="FJ1" t="s">
        <v>158</v>
      </c>
      <c r="FK1" t="s">
        <v>159</v>
      </c>
      <c r="FL1" t="s">
        <v>160</v>
      </c>
      <c r="FM1" t="s">
        <v>161</v>
      </c>
      <c r="FN1" t="s">
        <v>162</v>
      </c>
      <c r="FO1" t="s">
        <v>163</v>
      </c>
      <c r="FP1" t="s">
        <v>164</v>
      </c>
      <c r="FQ1" t="s">
        <v>165</v>
      </c>
      <c r="FR1" t="s">
        <v>242</v>
      </c>
      <c r="FS1" t="s">
        <v>239</v>
      </c>
    </row>
    <row r="2" spans="1:175" x14ac:dyDescent="0.2">
      <c r="A2" t="s">
        <v>1</v>
      </c>
      <c r="B2" s="63">
        <v>42271</v>
      </c>
      <c r="C2">
        <v>610</v>
      </c>
      <c r="D2">
        <v>610</v>
      </c>
      <c r="E2">
        <v>93.259</v>
      </c>
      <c r="F2">
        <v>769.63679999999999</v>
      </c>
      <c r="G2">
        <v>765.87070000000006</v>
      </c>
      <c r="H2">
        <v>763.19010000000003</v>
      </c>
      <c r="I2">
        <v>770.06809999999996</v>
      </c>
      <c r="J2">
        <v>789.79600000000005</v>
      </c>
      <c r="K2">
        <v>828.56539999999995</v>
      </c>
      <c r="L2">
        <v>871.20989999999995</v>
      </c>
      <c r="M2">
        <v>889.71960000000001</v>
      </c>
      <c r="N2">
        <v>895.31510000000003</v>
      </c>
      <c r="O2">
        <v>902.42989999999998</v>
      </c>
      <c r="P2">
        <v>904.24959999999999</v>
      </c>
      <c r="Q2">
        <v>893.77359999999999</v>
      </c>
      <c r="R2">
        <v>886.01859999999999</v>
      </c>
      <c r="S2">
        <v>874.53809999999999</v>
      </c>
      <c r="T2">
        <v>864.09640000000002</v>
      </c>
      <c r="U2">
        <v>853.23410000000001</v>
      </c>
      <c r="V2">
        <v>842.16669999999999</v>
      </c>
      <c r="W2">
        <v>826.20870000000002</v>
      </c>
      <c r="X2">
        <v>828.66980000000001</v>
      </c>
      <c r="Y2">
        <v>831.55679999999995</v>
      </c>
      <c r="Z2">
        <v>833.23929999999996</v>
      </c>
      <c r="AA2">
        <v>813.5027</v>
      </c>
      <c r="AB2">
        <v>796.65210000000002</v>
      </c>
      <c r="AC2">
        <v>785.80920000000003</v>
      </c>
      <c r="AD2">
        <v>2.1266579999999999</v>
      </c>
      <c r="AE2">
        <v>-1.107553</v>
      </c>
      <c r="AF2">
        <v>0.83484349999999996</v>
      </c>
      <c r="AG2">
        <v>0.61190180000000005</v>
      </c>
      <c r="AH2">
        <v>3.7882199999999998E-2</v>
      </c>
      <c r="AI2">
        <v>6.5794600000000001</v>
      </c>
      <c r="AJ2">
        <v>-10.91869</v>
      </c>
      <c r="AK2">
        <v>1.101844</v>
      </c>
      <c r="AL2">
        <v>-9.1171539999999993</v>
      </c>
      <c r="AM2">
        <v>-4.0317480000000003</v>
      </c>
      <c r="AN2">
        <v>-12.586600000000001</v>
      </c>
      <c r="AO2">
        <v>-21.889389999999999</v>
      </c>
      <c r="AP2">
        <v>-5.1143989999999997</v>
      </c>
      <c r="AQ2">
        <v>517.5598</v>
      </c>
      <c r="AR2">
        <v>686.53240000000005</v>
      </c>
      <c r="AS2">
        <v>618.02030000000002</v>
      </c>
      <c r="AT2">
        <v>378.06610000000001</v>
      </c>
      <c r="AU2">
        <v>255.73490000000001</v>
      </c>
      <c r="AV2">
        <v>163.846</v>
      </c>
      <c r="AW2">
        <v>98.329939999999993</v>
      </c>
      <c r="AX2">
        <v>84.863169999999997</v>
      </c>
      <c r="AY2">
        <v>76.301630000000003</v>
      </c>
      <c r="AZ2">
        <v>66.512150000000005</v>
      </c>
      <c r="BA2">
        <v>63.76728</v>
      </c>
      <c r="BB2">
        <v>3.892903</v>
      </c>
      <c r="BC2">
        <v>0.61160110000000001</v>
      </c>
      <c r="BD2">
        <v>2.460474</v>
      </c>
      <c r="BE2">
        <v>2.2547890000000002</v>
      </c>
      <c r="BF2">
        <v>1.824824</v>
      </c>
      <c r="BG2">
        <v>8.7099630000000001</v>
      </c>
      <c r="BH2">
        <v>-8.7708910000000007</v>
      </c>
      <c r="BI2">
        <v>3.0876730000000001</v>
      </c>
      <c r="BJ2">
        <v>-6.9749119999999998</v>
      </c>
      <c r="BK2">
        <v>-1.64513</v>
      </c>
      <c r="BL2">
        <v>-10.01826</v>
      </c>
      <c r="BM2">
        <v>-19.030950000000001</v>
      </c>
      <c r="BN2">
        <v>-2.0037970000000001</v>
      </c>
      <c r="BO2">
        <v>520.63279999999997</v>
      </c>
      <c r="BP2">
        <v>689.79930000000002</v>
      </c>
      <c r="BQ2">
        <v>621.39030000000002</v>
      </c>
      <c r="BR2">
        <v>381.32190000000003</v>
      </c>
      <c r="BS2">
        <v>258.86610000000002</v>
      </c>
      <c r="BT2">
        <v>167.3629</v>
      </c>
      <c r="BU2">
        <v>101.8018</v>
      </c>
      <c r="BV2">
        <v>88.578739999999996</v>
      </c>
      <c r="BW2">
        <v>79.945920000000001</v>
      </c>
      <c r="BX2">
        <v>69.644130000000004</v>
      </c>
      <c r="BY2">
        <v>66.801329999999993</v>
      </c>
      <c r="BZ2">
        <v>5.1161989999999999</v>
      </c>
      <c r="CA2">
        <v>1.8022819999999999</v>
      </c>
      <c r="CB2">
        <v>3.5863800000000001</v>
      </c>
      <c r="CC2">
        <v>3.3926479999999999</v>
      </c>
      <c r="CD2">
        <v>3.0624539999999998</v>
      </c>
      <c r="CE2">
        <v>10.18554</v>
      </c>
      <c r="CF2">
        <v>-7.2833329999999998</v>
      </c>
      <c r="CG2">
        <v>4.4630520000000002</v>
      </c>
      <c r="CH2">
        <v>-5.4912010000000002</v>
      </c>
      <c r="CI2">
        <v>7.8350999999999994E-3</v>
      </c>
      <c r="CJ2">
        <v>-8.2394390000000008</v>
      </c>
      <c r="CK2">
        <v>-17.051210000000001</v>
      </c>
      <c r="CL2">
        <v>0.15059729999999999</v>
      </c>
      <c r="CM2">
        <v>522.76110000000006</v>
      </c>
      <c r="CN2">
        <v>692.06190000000004</v>
      </c>
      <c r="CO2">
        <v>623.72429999999997</v>
      </c>
      <c r="CP2">
        <v>383.57679999999999</v>
      </c>
      <c r="CQ2">
        <v>261.03480000000002</v>
      </c>
      <c r="CR2">
        <v>169.79859999999999</v>
      </c>
      <c r="CS2">
        <v>104.2063</v>
      </c>
      <c r="CT2">
        <v>91.152140000000003</v>
      </c>
      <c r="CU2">
        <v>82.469939999999994</v>
      </c>
      <c r="CV2">
        <v>71.813339999999997</v>
      </c>
      <c r="CW2">
        <v>68.902699999999996</v>
      </c>
      <c r="CX2">
        <v>6.3394950000000003</v>
      </c>
      <c r="CY2">
        <v>2.992963</v>
      </c>
      <c r="CZ2">
        <v>4.7122859999999998</v>
      </c>
      <c r="DA2">
        <v>4.5305070000000001</v>
      </c>
      <c r="DB2">
        <v>4.300084</v>
      </c>
      <c r="DC2">
        <v>11.66112</v>
      </c>
      <c r="DD2">
        <v>-5.7957749999999999</v>
      </c>
      <c r="DE2">
        <v>5.8384309999999999</v>
      </c>
      <c r="DF2">
        <v>-4.0074909999999999</v>
      </c>
      <c r="DG2">
        <v>1.6608000000000001</v>
      </c>
      <c r="DH2">
        <v>-6.4606170000000001</v>
      </c>
      <c r="DI2">
        <v>-15.07146</v>
      </c>
      <c r="DJ2">
        <v>2.3049909999999998</v>
      </c>
      <c r="DK2">
        <v>524.8895</v>
      </c>
      <c r="DL2">
        <v>694.32449999999994</v>
      </c>
      <c r="DM2">
        <v>626.05830000000003</v>
      </c>
      <c r="DN2">
        <v>385.83179999999999</v>
      </c>
      <c r="DO2">
        <v>263.20350000000002</v>
      </c>
      <c r="DP2">
        <v>172.23439999999999</v>
      </c>
      <c r="DQ2">
        <v>106.6109</v>
      </c>
      <c r="DR2">
        <v>93.725530000000006</v>
      </c>
      <c r="DS2">
        <v>84.993970000000004</v>
      </c>
      <c r="DT2">
        <v>73.98254</v>
      </c>
      <c r="DU2">
        <v>71.004069999999999</v>
      </c>
      <c r="DV2">
        <v>8.1057410000000001</v>
      </c>
      <c r="DW2">
        <v>4.7121180000000003</v>
      </c>
      <c r="DX2">
        <v>6.3379159999999999</v>
      </c>
      <c r="DY2">
        <v>6.1733950000000002</v>
      </c>
      <c r="DZ2">
        <v>6.0870249999999997</v>
      </c>
      <c r="EA2">
        <v>13.79163</v>
      </c>
      <c r="EB2">
        <v>-3.6479780000000002</v>
      </c>
      <c r="EC2">
        <v>7.8242599999999998</v>
      </c>
      <c r="ED2">
        <v>-1.865248</v>
      </c>
      <c r="EE2">
        <v>4.0474180000000004</v>
      </c>
      <c r="EF2">
        <v>-3.8922810000000001</v>
      </c>
      <c r="EG2">
        <v>-12.21302</v>
      </c>
      <c r="EH2">
        <v>5.4155939999999996</v>
      </c>
      <c r="EI2">
        <v>527.96249999999998</v>
      </c>
      <c r="EJ2">
        <v>697.59140000000002</v>
      </c>
      <c r="EK2">
        <v>629.42830000000004</v>
      </c>
      <c r="EL2">
        <v>389.08760000000001</v>
      </c>
      <c r="EM2">
        <v>266.3347</v>
      </c>
      <c r="EN2">
        <v>175.75129999999999</v>
      </c>
      <c r="EO2">
        <v>110.0827</v>
      </c>
      <c r="EP2">
        <v>97.441109999999995</v>
      </c>
      <c r="EQ2">
        <v>88.638249999999999</v>
      </c>
      <c r="ER2">
        <v>77.114519999999999</v>
      </c>
      <c r="ES2">
        <v>74.038120000000006</v>
      </c>
      <c r="ET2">
        <v>73.36636</v>
      </c>
      <c r="EU2">
        <v>71.771289999999993</v>
      </c>
      <c r="EV2">
        <v>70.72</v>
      </c>
      <c r="EW2">
        <v>70.110460000000003</v>
      </c>
      <c r="EX2">
        <v>69.320430000000002</v>
      </c>
      <c r="EY2">
        <v>68.651849999999996</v>
      </c>
      <c r="EZ2">
        <v>68.210059999999999</v>
      </c>
      <c r="FA2">
        <v>67.720759999999999</v>
      </c>
      <c r="FB2">
        <v>70.01858</v>
      </c>
      <c r="FC2">
        <v>74.175899999999999</v>
      </c>
      <c r="FD2">
        <v>78.978999999999999</v>
      </c>
      <c r="FE2">
        <v>83.938770000000005</v>
      </c>
      <c r="FF2">
        <v>87.815340000000006</v>
      </c>
      <c r="FG2">
        <v>89.632230000000007</v>
      </c>
      <c r="FH2">
        <v>91.011470000000003</v>
      </c>
      <c r="FI2">
        <v>92.055279999999996</v>
      </c>
      <c r="FJ2">
        <v>92.517629999999997</v>
      </c>
      <c r="FK2">
        <v>91.736270000000005</v>
      </c>
      <c r="FL2">
        <v>88.689400000000006</v>
      </c>
      <c r="FM2">
        <v>84.858249999999998</v>
      </c>
      <c r="FN2">
        <v>81.218879999999999</v>
      </c>
      <c r="FO2">
        <v>78.626540000000006</v>
      </c>
      <c r="FP2">
        <v>77.124459999999999</v>
      </c>
      <c r="FQ2">
        <v>75.988050000000001</v>
      </c>
      <c r="FR2">
        <v>6.0945830000000001</v>
      </c>
      <c r="FS2">
        <v>1</v>
      </c>
    </row>
    <row r="3" spans="1:175" x14ac:dyDescent="0.2">
      <c r="A3" t="s">
        <v>1</v>
      </c>
      <c r="B3" s="63" t="s">
        <v>2</v>
      </c>
      <c r="C3">
        <v>610</v>
      </c>
      <c r="D3">
        <v>610</v>
      </c>
      <c r="E3">
        <v>93.259</v>
      </c>
      <c r="F3">
        <v>769.63679999999999</v>
      </c>
      <c r="G3">
        <v>765.87070000000006</v>
      </c>
      <c r="H3">
        <v>763.19010000000003</v>
      </c>
      <c r="I3">
        <v>770.06809999999996</v>
      </c>
      <c r="J3">
        <v>789.79600000000005</v>
      </c>
      <c r="K3">
        <v>828.56539999999995</v>
      </c>
      <c r="L3">
        <v>871.20989999999995</v>
      </c>
      <c r="M3">
        <v>889.71960000000001</v>
      </c>
      <c r="N3">
        <v>895.31510000000003</v>
      </c>
      <c r="O3">
        <v>902.42989999999998</v>
      </c>
      <c r="P3">
        <v>904.24959999999999</v>
      </c>
      <c r="Q3">
        <v>893.77359999999999</v>
      </c>
      <c r="R3">
        <v>886.01859999999999</v>
      </c>
      <c r="S3">
        <v>874.53809999999999</v>
      </c>
      <c r="T3">
        <v>864.09640000000002</v>
      </c>
      <c r="U3">
        <v>853.23410000000001</v>
      </c>
      <c r="V3">
        <v>842.16669999999999</v>
      </c>
      <c r="W3">
        <v>826.20870000000002</v>
      </c>
      <c r="X3">
        <v>828.66980000000001</v>
      </c>
      <c r="Y3">
        <v>831.55679999999995</v>
      </c>
      <c r="Z3">
        <v>833.23929999999996</v>
      </c>
      <c r="AA3">
        <v>813.5027</v>
      </c>
      <c r="AB3">
        <v>796.65210000000002</v>
      </c>
      <c r="AC3">
        <v>785.80920000000003</v>
      </c>
      <c r="AD3">
        <v>2.1266579999999999</v>
      </c>
      <c r="AE3">
        <v>-1.107553</v>
      </c>
      <c r="AF3">
        <v>0.83484349999999996</v>
      </c>
      <c r="AG3">
        <v>0.61190180000000005</v>
      </c>
      <c r="AH3">
        <v>3.7882199999999998E-2</v>
      </c>
      <c r="AI3">
        <v>6.5794600000000001</v>
      </c>
      <c r="AJ3">
        <v>-10.91869</v>
      </c>
      <c r="AK3">
        <v>1.101844</v>
      </c>
      <c r="AL3">
        <v>-9.1171539999999993</v>
      </c>
      <c r="AM3">
        <v>-4.0317480000000003</v>
      </c>
      <c r="AN3">
        <v>-12.586600000000001</v>
      </c>
      <c r="AO3">
        <v>-21.889389999999999</v>
      </c>
      <c r="AP3">
        <v>-5.1143989999999997</v>
      </c>
      <c r="AQ3">
        <v>517.5598</v>
      </c>
      <c r="AR3">
        <v>686.53240000000005</v>
      </c>
      <c r="AS3">
        <v>618.02030000000002</v>
      </c>
      <c r="AT3">
        <v>378.06610000000001</v>
      </c>
      <c r="AU3">
        <v>255.73490000000001</v>
      </c>
      <c r="AV3">
        <v>163.846</v>
      </c>
      <c r="AW3">
        <v>98.329939999999993</v>
      </c>
      <c r="AX3">
        <v>84.863169999999997</v>
      </c>
      <c r="AY3">
        <v>76.301630000000003</v>
      </c>
      <c r="AZ3">
        <v>66.512150000000005</v>
      </c>
      <c r="BA3">
        <v>63.76728</v>
      </c>
      <c r="BB3">
        <v>3.892903</v>
      </c>
      <c r="BC3">
        <v>0.61160110000000001</v>
      </c>
      <c r="BD3">
        <v>2.460474</v>
      </c>
      <c r="BE3">
        <v>2.2547890000000002</v>
      </c>
      <c r="BF3">
        <v>1.824824</v>
      </c>
      <c r="BG3">
        <v>8.7099630000000001</v>
      </c>
      <c r="BH3">
        <v>-8.7708910000000007</v>
      </c>
      <c r="BI3">
        <v>3.0876730000000001</v>
      </c>
      <c r="BJ3">
        <v>-6.9749119999999998</v>
      </c>
      <c r="BK3">
        <v>-1.64513</v>
      </c>
      <c r="BL3">
        <v>-10.01826</v>
      </c>
      <c r="BM3">
        <v>-19.030950000000001</v>
      </c>
      <c r="BN3">
        <v>-2.0037970000000001</v>
      </c>
      <c r="BO3">
        <v>520.63279999999997</v>
      </c>
      <c r="BP3">
        <v>689.79930000000002</v>
      </c>
      <c r="BQ3">
        <v>621.39030000000002</v>
      </c>
      <c r="BR3">
        <v>381.32190000000003</v>
      </c>
      <c r="BS3">
        <v>258.86610000000002</v>
      </c>
      <c r="BT3">
        <v>167.3629</v>
      </c>
      <c r="BU3">
        <v>101.8018</v>
      </c>
      <c r="BV3">
        <v>88.578739999999996</v>
      </c>
      <c r="BW3">
        <v>79.945920000000001</v>
      </c>
      <c r="BX3">
        <v>69.644130000000004</v>
      </c>
      <c r="BY3">
        <v>66.801329999999993</v>
      </c>
      <c r="BZ3">
        <v>5.1161989999999999</v>
      </c>
      <c r="CA3">
        <v>1.8022819999999999</v>
      </c>
      <c r="CB3">
        <v>3.5863800000000001</v>
      </c>
      <c r="CC3">
        <v>3.3926479999999999</v>
      </c>
      <c r="CD3">
        <v>3.0624539999999998</v>
      </c>
      <c r="CE3">
        <v>10.18554</v>
      </c>
      <c r="CF3">
        <v>-7.2833329999999998</v>
      </c>
      <c r="CG3">
        <v>4.4630520000000002</v>
      </c>
      <c r="CH3">
        <v>-5.4912010000000002</v>
      </c>
      <c r="CI3">
        <v>7.8350999999999994E-3</v>
      </c>
      <c r="CJ3">
        <v>-8.2394390000000008</v>
      </c>
      <c r="CK3">
        <v>-17.051210000000001</v>
      </c>
      <c r="CL3">
        <v>0.15059729999999999</v>
      </c>
      <c r="CM3">
        <v>522.76110000000006</v>
      </c>
      <c r="CN3">
        <v>692.06190000000004</v>
      </c>
      <c r="CO3">
        <v>623.72429999999997</v>
      </c>
      <c r="CP3">
        <v>383.57679999999999</v>
      </c>
      <c r="CQ3">
        <v>261.03480000000002</v>
      </c>
      <c r="CR3">
        <v>169.79859999999999</v>
      </c>
      <c r="CS3">
        <v>104.2063</v>
      </c>
      <c r="CT3">
        <v>91.152140000000003</v>
      </c>
      <c r="CU3">
        <v>82.469939999999994</v>
      </c>
      <c r="CV3">
        <v>71.813339999999997</v>
      </c>
      <c r="CW3">
        <v>68.902699999999996</v>
      </c>
      <c r="CX3">
        <v>6.3394950000000003</v>
      </c>
      <c r="CY3">
        <v>2.992963</v>
      </c>
      <c r="CZ3">
        <v>4.7122859999999998</v>
      </c>
      <c r="DA3">
        <v>4.5305070000000001</v>
      </c>
      <c r="DB3">
        <v>4.300084</v>
      </c>
      <c r="DC3">
        <v>11.66112</v>
      </c>
      <c r="DD3">
        <v>-5.7957749999999999</v>
      </c>
      <c r="DE3">
        <v>5.8384309999999999</v>
      </c>
      <c r="DF3">
        <v>-4.0074909999999999</v>
      </c>
      <c r="DG3">
        <v>1.6608000000000001</v>
      </c>
      <c r="DH3">
        <v>-6.4606170000000001</v>
      </c>
      <c r="DI3">
        <v>-15.07146</v>
      </c>
      <c r="DJ3">
        <v>2.3049909999999998</v>
      </c>
      <c r="DK3">
        <v>524.8895</v>
      </c>
      <c r="DL3">
        <v>694.32449999999994</v>
      </c>
      <c r="DM3">
        <v>626.05830000000003</v>
      </c>
      <c r="DN3">
        <v>385.83179999999999</v>
      </c>
      <c r="DO3">
        <v>263.20350000000002</v>
      </c>
      <c r="DP3">
        <v>172.23439999999999</v>
      </c>
      <c r="DQ3">
        <v>106.6109</v>
      </c>
      <c r="DR3">
        <v>93.725530000000006</v>
      </c>
      <c r="DS3">
        <v>84.993970000000004</v>
      </c>
      <c r="DT3">
        <v>73.98254</v>
      </c>
      <c r="DU3">
        <v>71.004069999999999</v>
      </c>
      <c r="DV3">
        <v>8.1057410000000001</v>
      </c>
      <c r="DW3">
        <v>4.7121180000000003</v>
      </c>
      <c r="DX3">
        <v>6.3379159999999999</v>
      </c>
      <c r="DY3">
        <v>6.1733950000000002</v>
      </c>
      <c r="DZ3">
        <v>6.0870249999999997</v>
      </c>
      <c r="EA3">
        <v>13.79163</v>
      </c>
      <c r="EB3">
        <v>-3.6479780000000002</v>
      </c>
      <c r="EC3">
        <v>7.8242599999999998</v>
      </c>
      <c r="ED3">
        <v>-1.865248</v>
      </c>
      <c r="EE3">
        <v>4.0474180000000004</v>
      </c>
      <c r="EF3">
        <v>-3.8922810000000001</v>
      </c>
      <c r="EG3">
        <v>-12.21302</v>
      </c>
      <c r="EH3">
        <v>5.4155939999999996</v>
      </c>
      <c r="EI3">
        <v>527.96249999999998</v>
      </c>
      <c r="EJ3">
        <v>697.59140000000002</v>
      </c>
      <c r="EK3">
        <v>629.42830000000004</v>
      </c>
      <c r="EL3">
        <v>389.08760000000001</v>
      </c>
      <c r="EM3">
        <v>266.3347</v>
      </c>
      <c r="EN3">
        <v>175.75129999999999</v>
      </c>
      <c r="EO3">
        <v>110.0827</v>
      </c>
      <c r="EP3">
        <v>97.441109999999995</v>
      </c>
      <c r="EQ3">
        <v>88.638249999999999</v>
      </c>
      <c r="ER3">
        <v>77.114519999999999</v>
      </c>
      <c r="ES3">
        <v>74.038120000000006</v>
      </c>
      <c r="ET3">
        <v>73.36636</v>
      </c>
      <c r="EU3">
        <v>71.771289999999993</v>
      </c>
      <c r="EV3">
        <v>70.72</v>
      </c>
      <c r="EW3">
        <v>70.110460000000003</v>
      </c>
      <c r="EX3">
        <v>69.320430000000002</v>
      </c>
      <c r="EY3">
        <v>68.651849999999996</v>
      </c>
      <c r="EZ3">
        <v>68.210059999999999</v>
      </c>
      <c r="FA3">
        <v>67.720759999999999</v>
      </c>
      <c r="FB3">
        <v>70.01858</v>
      </c>
      <c r="FC3">
        <v>74.175899999999999</v>
      </c>
      <c r="FD3">
        <v>78.978999999999999</v>
      </c>
      <c r="FE3">
        <v>83.938770000000005</v>
      </c>
      <c r="FF3">
        <v>87.815340000000006</v>
      </c>
      <c r="FG3">
        <v>89.632230000000007</v>
      </c>
      <c r="FH3">
        <v>91.011470000000003</v>
      </c>
      <c r="FI3">
        <v>92.055279999999996</v>
      </c>
      <c r="FJ3">
        <v>92.517629999999997</v>
      </c>
      <c r="FK3">
        <v>91.736270000000005</v>
      </c>
      <c r="FL3">
        <v>88.689400000000006</v>
      </c>
      <c r="FM3">
        <v>84.858249999999998</v>
      </c>
      <c r="FN3">
        <v>81.218879999999999</v>
      </c>
      <c r="FO3">
        <v>78.626540000000006</v>
      </c>
      <c r="FP3">
        <v>77.124459999999999</v>
      </c>
      <c r="FQ3">
        <v>75.988050000000001</v>
      </c>
      <c r="FR3">
        <v>6.0945830000000001</v>
      </c>
      <c r="FS3">
        <v>1</v>
      </c>
    </row>
    <row r="4" spans="1:175" x14ac:dyDescent="0.2">
      <c r="A4" t="s">
        <v>230</v>
      </c>
      <c r="B4" s="63">
        <v>42271</v>
      </c>
      <c r="C4">
        <v>527</v>
      </c>
      <c r="D4">
        <v>527</v>
      </c>
      <c r="E4">
        <v>82.512</v>
      </c>
      <c r="F4">
        <v>535.83339999999998</v>
      </c>
      <c r="G4">
        <v>532.67020000000002</v>
      </c>
      <c r="H4">
        <v>531.14020000000005</v>
      </c>
      <c r="I4">
        <v>537.04219999999998</v>
      </c>
      <c r="J4">
        <v>556.35239999999999</v>
      </c>
      <c r="K4">
        <v>593.60059999999999</v>
      </c>
      <c r="L4">
        <v>634.52319999999997</v>
      </c>
      <c r="M4">
        <v>654.83950000000004</v>
      </c>
      <c r="N4">
        <v>662.88040000000001</v>
      </c>
      <c r="O4">
        <v>669.33579999999995</v>
      </c>
      <c r="P4">
        <v>673.57569999999998</v>
      </c>
      <c r="Q4">
        <v>669.16189999999995</v>
      </c>
      <c r="R4">
        <v>667.37369999999999</v>
      </c>
      <c r="S4">
        <v>656.98019999999997</v>
      </c>
      <c r="T4">
        <v>649.80119999999999</v>
      </c>
      <c r="U4">
        <v>638.0421</v>
      </c>
      <c r="V4">
        <v>626.88260000000002</v>
      </c>
      <c r="W4">
        <v>612.74279999999999</v>
      </c>
      <c r="X4">
        <v>612.38639999999998</v>
      </c>
      <c r="Y4">
        <v>611.3655</v>
      </c>
      <c r="Z4">
        <v>606.36059999999998</v>
      </c>
      <c r="AA4">
        <v>585.8818</v>
      </c>
      <c r="AB4">
        <v>567.92849999999999</v>
      </c>
      <c r="AC4">
        <v>556.28549999999996</v>
      </c>
      <c r="AD4">
        <v>-1.474388</v>
      </c>
      <c r="AE4">
        <v>-3.7598829999999999</v>
      </c>
      <c r="AF4">
        <v>-3.093045</v>
      </c>
      <c r="AG4">
        <v>-2.1746539999999999</v>
      </c>
      <c r="AH4">
        <v>3.7471019999999999</v>
      </c>
      <c r="AI4">
        <v>10.964980000000001</v>
      </c>
      <c r="AJ4">
        <v>-2.8010229999999998</v>
      </c>
      <c r="AK4">
        <v>-0.46870279999999998</v>
      </c>
      <c r="AL4">
        <v>-3.7735650000000001</v>
      </c>
      <c r="AM4">
        <v>0.91724030000000001</v>
      </c>
      <c r="AN4">
        <v>-2.7982420000000001</v>
      </c>
      <c r="AO4">
        <v>-11.610659999999999</v>
      </c>
      <c r="AP4">
        <v>4.8699240000000001</v>
      </c>
      <c r="AQ4">
        <v>378.71140000000003</v>
      </c>
      <c r="AR4">
        <v>518.73469999999998</v>
      </c>
      <c r="AS4">
        <v>462.19940000000003</v>
      </c>
      <c r="AT4">
        <v>278.245</v>
      </c>
      <c r="AU4">
        <v>184.047</v>
      </c>
      <c r="AV4">
        <v>113.3267</v>
      </c>
      <c r="AW4">
        <v>62.012720000000002</v>
      </c>
      <c r="AX4">
        <v>52.796460000000003</v>
      </c>
      <c r="AY4">
        <v>56.486249999999998</v>
      </c>
      <c r="AZ4">
        <v>48.566040000000001</v>
      </c>
      <c r="BA4">
        <v>47.138300000000001</v>
      </c>
      <c r="BB4">
        <v>1.8167999999999999E-3</v>
      </c>
      <c r="BC4">
        <v>-2.276821</v>
      </c>
      <c r="BD4">
        <v>-1.6820459999999999</v>
      </c>
      <c r="BE4">
        <v>-0.74050870000000002</v>
      </c>
      <c r="BF4">
        <v>5.3890459999999996</v>
      </c>
      <c r="BG4">
        <v>12.96522</v>
      </c>
      <c r="BH4">
        <v>-0.78739820000000005</v>
      </c>
      <c r="BI4">
        <v>1.3317079999999999</v>
      </c>
      <c r="BJ4">
        <v>-1.8392980000000001</v>
      </c>
      <c r="BK4">
        <v>3.0611000000000002</v>
      </c>
      <c r="BL4">
        <v>-0.49272460000000001</v>
      </c>
      <c r="BM4">
        <v>-9.051247</v>
      </c>
      <c r="BN4">
        <v>7.6617600000000001</v>
      </c>
      <c r="BO4">
        <v>381.4117</v>
      </c>
      <c r="BP4">
        <v>521.58680000000004</v>
      </c>
      <c r="BQ4">
        <v>465.14839999999998</v>
      </c>
      <c r="BR4">
        <v>281.06619999999998</v>
      </c>
      <c r="BS4">
        <v>186.67830000000001</v>
      </c>
      <c r="BT4">
        <v>116.3496</v>
      </c>
      <c r="BU4">
        <v>64.986069999999998</v>
      </c>
      <c r="BV4">
        <v>56.077979999999997</v>
      </c>
      <c r="BW4">
        <v>59.719389999999997</v>
      </c>
      <c r="BX4">
        <v>51.23236</v>
      </c>
      <c r="BY4">
        <v>49.697749999999999</v>
      </c>
      <c r="BZ4">
        <v>1.024232</v>
      </c>
      <c r="CA4">
        <v>-1.2496560000000001</v>
      </c>
      <c r="CB4">
        <v>-0.70479290000000006</v>
      </c>
      <c r="CC4">
        <v>0.2527761</v>
      </c>
      <c r="CD4">
        <v>6.5262520000000004</v>
      </c>
      <c r="CE4">
        <v>14.350580000000001</v>
      </c>
      <c r="CF4">
        <v>0.60723190000000005</v>
      </c>
      <c r="CG4">
        <v>2.5786660000000001</v>
      </c>
      <c r="CH4">
        <v>-0.49963049999999998</v>
      </c>
      <c r="CI4">
        <v>4.5459310000000004</v>
      </c>
      <c r="CJ4">
        <v>1.1040700000000001</v>
      </c>
      <c r="CK4">
        <v>-7.2786010000000001</v>
      </c>
      <c r="CL4">
        <v>9.5953780000000002</v>
      </c>
      <c r="CM4">
        <v>383.28199999999998</v>
      </c>
      <c r="CN4">
        <v>523.56209999999999</v>
      </c>
      <c r="CO4">
        <v>467.1909</v>
      </c>
      <c r="CP4">
        <v>283.02019999999999</v>
      </c>
      <c r="CQ4">
        <v>188.50059999999999</v>
      </c>
      <c r="CR4">
        <v>118.4432</v>
      </c>
      <c r="CS4">
        <v>67.045389999999998</v>
      </c>
      <c r="CT4">
        <v>58.350749999999998</v>
      </c>
      <c r="CU4">
        <v>61.958660000000002</v>
      </c>
      <c r="CV4">
        <v>53.079050000000002</v>
      </c>
      <c r="CW4">
        <v>51.470410000000001</v>
      </c>
      <c r="CX4">
        <v>2.0466470000000001</v>
      </c>
      <c r="CY4">
        <v>-0.2224922</v>
      </c>
      <c r="CZ4">
        <v>0.2724607</v>
      </c>
      <c r="DA4">
        <v>1.2460610000000001</v>
      </c>
      <c r="DB4">
        <v>7.6634570000000002</v>
      </c>
      <c r="DC4">
        <v>15.735939999999999</v>
      </c>
      <c r="DD4">
        <v>2.001862</v>
      </c>
      <c r="DE4">
        <v>3.8256250000000001</v>
      </c>
      <c r="DF4">
        <v>0.84003689999999998</v>
      </c>
      <c r="DG4">
        <v>6.0307620000000002</v>
      </c>
      <c r="DH4">
        <v>2.7008640000000002</v>
      </c>
      <c r="DI4">
        <v>-5.5059560000000003</v>
      </c>
      <c r="DJ4">
        <v>11.529</v>
      </c>
      <c r="DK4">
        <v>385.15230000000003</v>
      </c>
      <c r="DL4">
        <v>525.53750000000002</v>
      </c>
      <c r="DM4">
        <v>469.23349999999999</v>
      </c>
      <c r="DN4">
        <v>284.97410000000002</v>
      </c>
      <c r="DO4">
        <v>190.32300000000001</v>
      </c>
      <c r="DP4">
        <v>120.5369</v>
      </c>
      <c r="DQ4">
        <v>69.10472</v>
      </c>
      <c r="DR4">
        <v>60.623519999999999</v>
      </c>
      <c r="DS4">
        <v>64.197919999999996</v>
      </c>
      <c r="DT4">
        <v>54.925730000000001</v>
      </c>
      <c r="DU4">
        <v>53.243070000000003</v>
      </c>
      <c r="DV4">
        <v>3.5228519999999999</v>
      </c>
      <c r="DW4">
        <v>1.26057</v>
      </c>
      <c r="DX4">
        <v>1.68346</v>
      </c>
      <c r="DY4">
        <v>2.6802069999999998</v>
      </c>
      <c r="DZ4">
        <v>9.3054020000000008</v>
      </c>
      <c r="EA4">
        <v>17.736180000000001</v>
      </c>
      <c r="EB4">
        <v>4.0154860000000001</v>
      </c>
      <c r="EC4">
        <v>5.626036</v>
      </c>
      <c r="ED4">
        <v>2.7743039999999999</v>
      </c>
      <c r="EE4">
        <v>8.1746230000000004</v>
      </c>
      <c r="EF4">
        <v>5.0063810000000002</v>
      </c>
      <c r="EG4">
        <v>-2.9465370000000002</v>
      </c>
      <c r="EH4">
        <v>14.320830000000001</v>
      </c>
      <c r="EI4">
        <v>387.85270000000003</v>
      </c>
      <c r="EJ4">
        <v>528.3895</v>
      </c>
      <c r="EK4">
        <v>472.1825</v>
      </c>
      <c r="EL4">
        <v>287.7953</v>
      </c>
      <c r="EM4">
        <v>192.95419999999999</v>
      </c>
      <c r="EN4">
        <v>123.55970000000001</v>
      </c>
      <c r="EO4">
        <v>72.078059999999994</v>
      </c>
      <c r="EP4">
        <v>63.90504</v>
      </c>
      <c r="EQ4">
        <v>67.431070000000005</v>
      </c>
      <c r="ER4">
        <v>57.59205</v>
      </c>
      <c r="ES4">
        <v>55.802520000000001</v>
      </c>
      <c r="ET4">
        <v>73.724000000000004</v>
      </c>
      <c r="EU4">
        <v>72.429590000000005</v>
      </c>
      <c r="EV4">
        <v>71.525030000000001</v>
      </c>
      <c r="EW4">
        <v>70.701880000000003</v>
      </c>
      <c r="EX4">
        <v>70.153450000000007</v>
      </c>
      <c r="EY4">
        <v>69.246669999999995</v>
      </c>
      <c r="EZ4">
        <v>68.958340000000007</v>
      </c>
      <c r="FA4">
        <v>68.79607</v>
      </c>
      <c r="FB4">
        <v>71.273120000000006</v>
      </c>
      <c r="FC4">
        <v>75.245559999999998</v>
      </c>
      <c r="FD4">
        <v>79.758009999999999</v>
      </c>
      <c r="FE4">
        <v>84.718459999999993</v>
      </c>
      <c r="FF4">
        <v>88.598740000000006</v>
      </c>
      <c r="FG4">
        <v>90.059160000000006</v>
      </c>
      <c r="FH4">
        <v>91.218500000000006</v>
      </c>
      <c r="FI4">
        <v>92.131079999999997</v>
      </c>
      <c r="FJ4">
        <v>92.597269999999995</v>
      </c>
      <c r="FK4">
        <v>91.66189</v>
      </c>
      <c r="FL4">
        <v>88.018659999999997</v>
      </c>
      <c r="FM4">
        <v>83.825789999999998</v>
      </c>
      <c r="FN4">
        <v>80.06626</v>
      </c>
      <c r="FO4">
        <v>77.452820000000003</v>
      </c>
      <c r="FP4">
        <v>76.026830000000004</v>
      </c>
      <c r="FQ4">
        <v>75.242360000000005</v>
      </c>
      <c r="FR4">
        <v>5.5508449999999998</v>
      </c>
      <c r="FS4">
        <v>1</v>
      </c>
    </row>
    <row r="5" spans="1:175" x14ac:dyDescent="0.2">
      <c r="A5" t="s">
        <v>230</v>
      </c>
      <c r="B5" s="63" t="s">
        <v>2</v>
      </c>
      <c r="C5">
        <v>527</v>
      </c>
      <c r="D5">
        <v>527</v>
      </c>
      <c r="E5">
        <v>82.512</v>
      </c>
      <c r="F5">
        <v>535.83339999999998</v>
      </c>
      <c r="G5">
        <v>532.67020000000002</v>
      </c>
      <c r="H5">
        <v>531.14020000000005</v>
      </c>
      <c r="I5">
        <v>537.04219999999998</v>
      </c>
      <c r="J5">
        <v>556.35239999999999</v>
      </c>
      <c r="K5">
        <v>593.60059999999999</v>
      </c>
      <c r="L5">
        <v>634.52319999999997</v>
      </c>
      <c r="M5">
        <v>654.83950000000004</v>
      </c>
      <c r="N5">
        <v>662.88040000000001</v>
      </c>
      <c r="O5">
        <v>669.33579999999995</v>
      </c>
      <c r="P5">
        <v>673.57569999999998</v>
      </c>
      <c r="Q5">
        <v>669.16189999999995</v>
      </c>
      <c r="R5">
        <v>667.37369999999999</v>
      </c>
      <c r="S5">
        <v>656.98019999999997</v>
      </c>
      <c r="T5">
        <v>649.80119999999999</v>
      </c>
      <c r="U5">
        <v>638.0421</v>
      </c>
      <c r="V5">
        <v>626.88260000000002</v>
      </c>
      <c r="W5">
        <v>612.74279999999999</v>
      </c>
      <c r="X5">
        <v>612.38639999999998</v>
      </c>
      <c r="Y5">
        <v>611.3655</v>
      </c>
      <c r="Z5">
        <v>606.36059999999998</v>
      </c>
      <c r="AA5">
        <v>585.8818</v>
      </c>
      <c r="AB5">
        <v>567.92849999999999</v>
      </c>
      <c r="AC5">
        <v>556.28549999999996</v>
      </c>
      <c r="AD5">
        <v>-1.474388</v>
      </c>
      <c r="AE5">
        <v>-3.7598829999999999</v>
      </c>
      <c r="AF5">
        <v>-3.093045</v>
      </c>
      <c r="AG5">
        <v>-2.1746539999999999</v>
      </c>
      <c r="AH5">
        <v>3.7471019999999999</v>
      </c>
      <c r="AI5">
        <v>10.964980000000001</v>
      </c>
      <c r="AJ5">
        <v>-2.8010229999999998</v>
      </c>
      <c r="AK5">
        <v>-0.46870279999999998</v>
      </c>
      <c r="AL5">
        <v>-3.7735650000000001</v>
      </c>
      <c r="AM5">
        <v>0.91724030000000001</v>
      </c>
      <c r="AN5">
        <v>-2.7982420000000001</v>
      </c>
      <c r="AO5">
        <v>-11.610659999999999</v>
      </c>
      <c r="AP5">
        <v>4.8699240000000001</v>
      </c>
      <c r="AQ5">
        <v>378.71140000000003</v>
      </c>
      <c r="AR5">
        <v>518.73469999999998</v>
      </c>
      <c r="AS5">
        <v>462.19940000000003</v>
      </c>
      <c r="AT5">
        <v>278.245</v>
      </c>
      <c r="AU5">
        <v>184.047</v>
      </c>
      <c r="AV5">
        <v>113.3267</v>
      </c>
      <c r="AW5">
        <v>62.012720000000002</v>
      </c>
      <c r="AX5">
        <v>52.796460000000003</v>
      </c>
      <c r="AY5">
        <v>56.486249999999998</v>
      </c>
      <c r="AZ5">
        <v>48.566040000000001</v>
      </c>
      <c r="BA5">
        <v>47.138300000000001</v>
      </c>
      <c r="BB5">
        <v>1.8167999999999999E-3</v>
      </c>
      <c r="BC5">
        <v>-2.276821</v>
      </c>
      <c r="BD5">
        <v>-1.6820459999999999</v>
      </c>
      <c r="BE5">
        <v>-0.74050870000000002</v>
      </c>
      <c r="BF5">
        <v>5.3890459999999996</v>
      </c>
      <c r="BG5">
        <v>12.96522</v>
      </c>
      <c r="BH5">
        <v>-0.78739820000000005</v>
      </c>
      <c r="BI5">
        <v>1.3317079999999999</v>
      </c>
      <c r="BJ5">
        <v>-1.8392980000000001</v>
      </c>
      <c r="BK5">
        <v>3.0611000000000002</v>
      </c>
      <c r="BL5">
        <v>-0.49272460000000001</v>
      </c>
      <c r="BM5">
        <v>-9.051247</v>
      </c>
      <c r="BN5">
        <v>7.6617600000000001</v>
      </c>
      <c r="BO5">
        <v>381.4117</v>
      </c>
      <c r="BP5">
        <v>521.58680000000004</v>
      </c>
      <c r="BQ5">
        <v>465.14839999999998</v>
      </c>
      <c r="BR5">
        <v>281.06619999999998</v>
      </c>
      <c r="BS5">
        <v>186.67830000000001</v>
      </c>
      <c r="BT5">
        <v>116.3496</v>
      </c>
      <c r="BU5">
        <v>64.986069999999998</v>
      </c>
      <c r="BV5">
        <v>56.077979999999997</v>
      </c>
      <c r="BW5">
        <v>59.719389999999997</v>
      </c>
      <c r="BX5">
        <v>51.23236</v>
      </c>
      <c r="BY5">
        <v>49.697749999999999</v>
      </c>
      <c r="BZ5">
        <v>1.024232</v>
      </c>
      <c r="CA5">
        <v>-1.2496560000000001</v>
      </c>
      <c r="CB5">
        <v>-0.70479290000000006</v>
      </c>
      <c r="CC5">
        <v>0.2527761</v>
      </c>
      <c r="CD5">
        <v>6.5262520000000004</v>
      </c>
      <c r="CE5">
        <v>14.350580000000001</v>
      </c>
      <c r="CF5">
        <v>0.60723190000000005</v>
      </c>
      <c r="CG5">
        <v>2.5786660000000001</v>
      </c>
      <c r="CH5">
        <v>-0.49963049999999998</v>
      </c>
      <c r="CI5">
        <v>4.5459310000000004</v>
      </c>
      <c r="CJ5">
        <v>1.1040700000000001</v>
      </c>
      <c r="CK5">
        <v>-7.2786010000000001</v>
      </c>
      <c r="CL5">
        <v>9.5953780000000002</v>
      </c>
      <c r="CM5">
        <v>383.28199999999998</v>
      </c>
      <c r="CN5">
        <v>523.56209999999999</v>
      </c>
      <c r="CO5">
        <v>467.1909</v>
      </c>
      <c r="CP5">
        <v>283.02019999999999</v>
      </c>
      <c r="CQ5">
        <v>188.50059999999999</v>
      </c>
      <c r="CR5">
        <v>118.4432</v>
      </c>
      <c r="CS5">
        <v>67.045389999999998</v>
      </c>
      <c r="CT5">
        <v>58.350749999999998</v>
      </c>
      <c r="CU5">
        <v>61.958660000000002</v>
      </c>
      <c r="CV5">
        <v>53.079050000000002</v>
      </c>
      <c r="CW5">
        <v>51.470410000000001</v>
      </c>
      <c r="CX5">
        <v>2.0466470000000001</v>
      </c>
      <c r="CY5">
        <v>-0.2224922</v>
      </c>
      <c r="CZ5">
        <v>0.2724607</v>
      </c>
      <c r="DA5">
        <v>1.2460610000000001</v>
      </c>
      <c r="DB5">
        <v>7.6634570000000002</v>
      </c>
      <c r="DC5">
        <v>15.735939999999999</v>
      </c>
      <c r="DD5">
        <v>2.001862</v>
      </c>
      <c r="DE5">
        <v>3.8256250000000001</v>
      </c>
      <c r="DF5">
        <v>0.84003689999999998</v>
      </c>
      <c r="DG5">
        <v>6.0307620000000002</v>
      </c>
      <c r="DH5">
        <v>2.7008640000000002</v>
      </c>
      <c r="DI5">
        <v>-5.5059560000000003</v>
      </c>
      <c r="DJ5">
        <v>11.529</v>
      </c>
      <c r="DK5">
        <v>385.15230000000003</v>
      </c>
      <c r="DL5">
        <v>525.53750000000002</v>
      </c>
      <c r="DM5">
        <v>469.23349999999999</v>
      </c>
      <c r="DN5">
        <v>284.97410000000002</v>
      </c>
      <c r="DO5">
        <v>190.32300000000001</v>
      </c>
      <c r="DP5">
        <v>120.5369</v>
      </c>
      <c r="DQ5">
        <v>69.10472</v>
      </c>
      <c r="DR5">
        <v>60.623519999999999</v>
      </c>
      <c r="DS5">
        <v>64.197919999999996</v>
      </c>
      <c r="DT5">
        <v>54.925730000000001</v>
      </c>
      <c r="DU5">
        <v>53.243070000000003</v>
      </c>
      <c r="DV5">
        <v>3.5228519999999999</v>
      </c>
      <c r="DW5">
        <v>1.26057</v>
      </c>
      <c r="DX5">
        <v>1.68346</v>
      </c>
      <c r="DY5">
        <v>2.6802069999999998</v>
      </c>
      <c r="DZ5">
        <v>9.3054020000000008</v>
      </c>
      <c r="EA5">
        <v>17.736180000000001</v>
      </c>
      <c r="EB5">
        <v>4.0154860000000001</v>
      </c>
      <c r="EC5">
        <v>5.626036</v>
      </c>
      <c r="ED5">
        <v>2.7743039999999999</v>
      </c>
      <c r="EE5">
        <v>8.1746230000000004</v>
      </c>
      <c r="EF5">
        <v>5.0063810000000002</v>
      </c>
      <c r="EG5">
        <v>-2.9465370000000002</v>
      </c>
      <c r="EH5">
        <v>14.320830000000001</v>
      </c>
      <c r="EI5">
        <v>387.85270000000003</v>
      </c>
      <c r="EJ5">
        <v>528.3895</v>
      </c>
      <c r="EK5">
        <v>472.1825</v>
      </c>
      <c r="EL5">
        <v>287.7953</v>
      </c>
      <c r="EM5">
        <v>192.95419999999999</v>
      </c>
      <c r="EN5">
        <v>123.55970000000001</v>
      </c>
      <c r="EO5">
        <v>72.078059999999994</v>
      </c>
      <c r="EP5">
        <v>63.90504</v>
      </c>
      <c r="EQ5">
        <v>67.431070000000005</v>
      </c>
      <c r="ER5">
        <v>57.59205</v>
      </c>
      <c r="ES5">
        <v>55.802520000000001</v>
      </c>
      <c r="ET5">
        <v>73.724000000000004</v>
      </c>
      <c r="EU5">
        <v>72.429590000000005</v>
      </c>
      <c r="EV5">
        <v>71.525030000000001</v>
      </c>
      <c r="EW5">
        <v>70.701880000000003</v>
      </c>
      <c r="EX5">
        <v>70.153450000000007</v>
      </c>
      <c r="EY5">
        <v>69.246669999999995</v>
      </c>
      <c r="EZ5">
        <v>68.958340000000007</v>
      </c>
      <c r="FA5">
        <v>68.79607</v>
      </c>
      <c r="FB5">
        <v>71.273120000000006</v>
      </c>
      <c r="FC5">
        <v>75.245559999999998</v>
      </c>
      <c r="FD5">
        <v>79.758009999999999</v>
      </c>
      <c r="FE5">
        <v>84.718459999999993</v>
      </c>
      <c r="FF5">
        <v>88.598740000000006</v>
      </c>
      <c r="FG5">
        <v>90.059160000000006</v>
      </c>
      <c r="FH5">
        <v>91.218500000000006</v>
      </c>
      <c r="FI5">
        <v>92.131079999999997</v>
      </c>
      <c r="FJ5">
        <v>92.597269999999995</v>
      </c>
      <c r="FK5">
        <v>91.66189</v>
      </c>
      <c r="FL5">
        <v>88.018659999999997</v>
      </c>
      <c r="FM5">
        <v>83.825789999999998</v>
      </c>
      <c r="FN5">
        <v>80.06626</v>
      </c>
      <c r="FO5">
        <v>77.452820000000003</v>
      </c>
      <c r="FP5">
        <v>76.026830000000004</v>
      </c>
      <c r="FQ5">
        <v>75.242360000000005</v>
      </c>
      <c r="FR5">
        <v>5.5508449999999998</v>
      </c>
      <c r="FS5">
        <v>1</v>
      </c>
    </row>
    <row r="6" spans="1:175" x14ac:dyDescent="0.2">
      <c r="A6" t="s">
        <v>231</v>
      </c>
      <c r="B6" s="63">
        <v>42271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</row>
    <row r="7" spans="1:175" x14ac:dyDescent="0.2">
      <c r="A7" t="s">
        <v>231</v>
      </c>
      <c r="B7" s="63" t="s">
        <v>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</row>
    <row r="8" spans="1:175" x14ac:dyDescent="0.2">
      <c r="A8" t="s">
        <v>232</v>
      </c>
      <c r="B8" s="63">
        <v>42271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</row>
    <row r="9" spans="1:175" x14ac:dyDescent="0.2">
      <c r="A9" t="s">
        <v>232</v>
      </c>
      <c r="B9" s="63" t="s">
        <v>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</row>
    <row r="10" spans="1:175" x14ac:dyDescent="0.2">
      <c r="D10" s="63"/>
    </row>
    <row r="11" spans="1:175" x14ac:dyDescent="0.2">
      <c r="D11" s="63"/>
    </row>
    <row r="12" spans="1:175" x14ac:dyDescent="0.2">
      <c r="D12" s="63"/>
    </row>
    <row r="13" spans="1:175" x14ac:dyDescent="0.2">
      <c r="D13" s="63"/>
    </row>
    <row r="14" spans="1:175" x14ac:dyDescent="0.2">
      <c r="D14" s="63"/>
    </row>
    <row r="15" spans="1:175" x14ac:dyDescent="0.2">
      <c r="D15" s="63"/>
    </row>
    <row r="16" spans="1:175" x14ac:dyDescent="0.2">
      <c r="D16" s="63"/>
    </row>
    <row r="17" spans="4:82" x14ac:dyDescent="0.2">
      <c r="D17" s="63"/>
    </row>
    <row r="18" spans="4:82" x14ac:dyDescent="0.2">
      <c r="D18" s="63"/>
      <c r="CD18" s="55"/>
    </row>
    <row r="19" spans="4:82" x14ac:dyDescent="0.2">
      <c r="D19" s="63"/>
    </row>
    <row r="20" spans="4:82" x14ac:dyDescent="0.2">
      <c r="D20" s="63"/>
    </row>
    <row r="21" spans="4:82" x14ac:dyDescent="0.2">
      <c r="D21" s="63"/>
    </row>
    <row r="22" spans="4:82" x14ac:dyDescent="0.2">
      <c r="D22" s="63"/>
    </row>
    <row r="23" spans="4:82" x14ac:dyDescent="0.2">
      <c r="D23" s="63"/>
    </row>
    <row r="24" spans="4:82" x14ac:dyDescent="0.2">
      <c r="D24" s="63"/>
    </row>
    <row r="25" spans="4:82" x14ac:dyDescent="0.2">
      <c r="D25" s="63"/>
    </row>
    <row r="26" spans="4:82" x14ac:dyDescent="0.2">
      <c r="D26" s="63"/>
    </row>
    <row r="27" spans="4:82" x14ac:dyDescent="0.2">
      <c r="D27" s="63"/>
    </row>
    <row r="28" spans="4:82" x14ac:dyDescent="0.2">
      <c r="D28" s="63"/>
    </row>
    <row r="29" spans="4:82" x14ac:dyDescent="0.2">
      <c r="D29" s="63"/>
    </row>
    <row r="30" spans="4:82" x14ac:dyDescent="0.2">
      <c r="D30" s="63"/>
    </row>
    <row r="31" spans="4:82" x14ac:dyDescent="0.2">
      <c r="D31" s="63"/>
    </row>
    <row r="32" spans="4:82" x14ac:dyDescent="0.2">
      <c r="D32" s="63"/>
    </row>
    <row r="33" spans="4:4" x14ac:dyDescent="0.2">
      <c r="D33" s="63"/>
    </row>
    <row r="34" spans="4:4" x14ac:dyDescent="0.2">
      <c r="D34" s="63"/>
    </row>
    <row r="35" spans="4:4" x14ac:dyDescent="0.2">
      <c r="D35" s="63"/>
    </row>
    <row r="36" spans="4:4" x14ac:dyDescent="0.2">
      <c r="D36" s="63"/>
    </row>
    <row r="37" spans="4:4" x14ac:dyDescent="0.2">
      <c r="D37" s="63"/>
    </row>
    <row r="38" spans="4:4" x14ac:dyDescent="0.2">
      <c r="D38" s="63"/>
    </row>
    <row r="39" spans="4:4" x14ac:dyDescent="0.2">
      <c r="D39" s="63"/>
    </row>
    <row r="40" spans="4:4" x14ac:dyDescent="0.2">
      <c r="D40" s="63"/>
    </row>
    <row r="41" spans="4:4" x14ac:dyDescent="0.2">
      <c r="D41" s="63"/>
    </row>
    <row r="42" spans="4:4" x14ac:dyDescent="0.2">
      <c r="D42" s="63"/>
    </row>
    <row r="43" spans="4:4" x14ac:dyDescent="0.2">
      <c r="D43" s="63"/>
    </row>
    <row r="44" spans="4:4" x14ac:dyDescent="0.2">
      <c r="D44" s="63"/>
    </row>
    <row r="45" spans="4:4" x14ac:dyDescent="0.2">
      <c r="D45" s="63"/>
    </row>
    <row r="46" spans="4:4" x14ac:dyDescent="0.2">
      <c r="D46" s="63"/>
    </row>
    <row r="47" spans="4:4" x14ac:dyDescent="0.2">
      <c r="D47" s="63"/>
    </row>
    <row r="48" spans="4:4" x14ac:dyDescent="0.2">
      <c r="D48" s="63"/>
    </row>
    <row r="49" spans="4:4" x14ac:dyDescent="0.2">
      <c r="D49" s="63"/>
    </row>
    <row r="50" spans="4:4" x14ac:dyDescent="0.2">
      <c r="D50" s="63"/>
    </row>
    <row r="51" spans="4:4" x14ac:dyDescent="0.2">
      <c r="D51" s="63"/>
    </row>
    <row r="52" spans="4:4" x14ac:dyDescent="0.2">
      <c r="D52" s="63"/>
    </row>
    <row r="53" spans="4:4" x14ac:dyDescent="0.2">
      <c r="D53" s="63"/>
    </row>
    <row r="54" spans="4:4" x14ac:dyDescent="0.2">
      <c r="D54" s="63"/>
    </row>
    <row r="55" spans="4:4" x14ac:dyDescent="0.2">
      <c r="D55" s="63"/>
    </row>
    <row r="56" spans="4:4" x14ac:dyDescent="0.2">
      <c r="D56" s="63"/>
    </row>
    <row r="57" spans="4:4" x14ac:dyDescent="0.2">
      <c r="D57" s="63"/>
    </row>
    <row r="58" spans="4:4" x14ac:dyDescent="0.2">
      <c r="D58" s="63"/>
    </row>
    <row r="59" spans="4:4" x14ac:dyDescent="0.2">
      <c r="D59" s="63"/>
    </row>
    <row r="60" spans="4:4" x14ac:dyDescent="0.2">
      <c r="D60" s="63"/>
    </row>
    <row r="61" spans="4:4" x14ac:dyDescent="0.2">
      <c r="D61" s="63"/>
    </row>
    <row r="62" spans="4:4" x14ac:dyDescent="0.2">
      <c r="D62" s="63"/>
    </row>
    <row r="63" spans="4:4" x14ac:dyDescent="0.2">
      <c r="D63" s="63"/>
    </row>
    <row r="64" spans="4:4" x14ac:dyDescent="0.2">
      <c r="D64" s="63"/>
    </row>
    <row r="65" spans="4:4" x14ac:dyDescent="0.2">
      <c r="D65" s="63"/>
    </row>
    <row r="66" spans="4:4" x14ac:dyDescent="0.2">
      <c r="D66" s="63"/>
    </row>
    <row r="67" spans="4:4" x14ac:dyDescent="0.2">
      <c r="D67" s="63"/>
    </row>
    <row r="201" spans="5:5" x14ac:dyDescent="0.2">
      <c r="E201" s="41"/>
    </row>
    <row r="1215" spans="58:58" x14ac:dyDescent="0.2">
      <c r="BF1215" s="55"/>
    </row>
    <row r="1802" spans="138:138" x14ac:dyDescent="0.2">
      <c r="EH1802" s="55"/>
    </row>
    <row r="3672" spans="58:58" x14ac:dyDescent="0.2">
      <c r="BF3672" s="55"/>
    </row>
    <row r="4307" spans="89:89" x14ac:dyDescent="0.2">
      <c r="CK4307" s="55"/>
    </row>
    <row r="4314" spans="89:89" x14ac:dyDescent="0.2">
      <c r="CK4314" s="55"/>
    </row>
    <row r="6828" spans="46:121" x14ac:dyDescent="0.2">
      <c r="DQ6828" s="55"/>
    </row>
    <row r="6829" spans="46:121" x14ac:dyDescent="0.2">
      <c r="AT6829" s="55"/>
      <c r="BD6829" s="55"/>
      <c r="BH6829" s="55"/>
      <c r="DQ6829" s="55"/>
    </row>
    <row r="6833" spans="46:121" x14ac:dyDescent="0.2">
      <c r="BV6833" s="55"/>
    </row>
    <row r="6835" spans="46:121" x14ac:dyDescent="0.2">
      <c r="DQ6835" s="55"/>
    </row>
    <row r="6836" spans="46:121" x14ac:dyDescent="0.2">
      <c r="AT6836" s="55"/>
      <c r="BD6836" s="55"/>
      <c r="BH6836" s="55"/>
      <c r="DQ6836" s="55"/>
    </row>
    <row r="6840" spans="46:121" x14ac:dyDescent="0.2">
      <c r="BV6840" s="55"/>
    </row>
    <row r="9110" spans="138:138" x14ac:dyDescent="0.2">
      <c r="EH9110" s="55"/>
    </row>
    <row r="10210" spans="135:135" x14ac:dyDescent="0.2">
      <c r="EE10210" s="55"/>
    </row>
    <row r="10224" spans="135:135" x14ac:dyDescent="0.2">
      <c r="EE10224" s="55"/>
    </row>
    <row r="10230" spans="10:153" x14ac:dyDescent="0.2">
      <c r="J10230" s="55"/>
      <c r="K10230" s="55"/>
      <c r="AC10230" s="55"/>
      <c r="AD10230" s="55"/>
      <c r="AP10230" s="55"/>
      <c r="AV10230" s="55"/>
      <c r="AX10230" s="55"/>
      <c r="AY10230" s="55"/>
      <c r="AZ10230" s="55"/>
      <c r="BO10230" s="55"/>
      <c r="CW10230" s="55"/>
      <c r="CX10230" s="55"/>
      <c r="DB10230" s="55"/>
      <c r="DC10230" s="55"/>
      <c r="DD10230" s="55"/>
      <c r="DE10230" s="55"/>
      <c r="DF10230" s="55"/>
      <c r="DU10230" s="55"/>
      <c r="DV10230" s="55"/>
      <c r="DZ10230" s="55"/>
      <c r="EA10230" s="55"/>
      <c r="EB10230" s="55"/>
      <c r="EC10230" s="55"/>
      <c r="ED10230" s="55"/>
      <c r="EE10230" s="55"/>
      <c r="EF10230" s="55"/>
    </row>
    <row r="10231" spans="10:153" x14ac:dyDescent="0.2">
      <c r="R10231" s="55"/>
      <c r="AB10231" s="55"/>
      <c r="AR10231" s="55"/>
      <c r="AS10231" s="55"/>
      <c r="CQ10231" s="55"/>
      <c r="CV10231" s="55"/>
      <c r="EC10231" s="55"/>
      <c r="ES10231" s="55"/>
    </row>
    <row r="10233" spans="10:153" x14ac:dyDescent="0.2">
      <c r="J10233" s="55"/>
      <c r="K10233" s="55"/>
      <c r="L10233" s="55"/>
      <c r="M10233" s="55"/>
      <c r="N10233" s="55"/>
      <c r="O10233" s="55"/>
      <c r="P10233" s="55"/>
      <c r="AD10233" s="55"/>
      <c r="AH10233" s="55"/>
      <c r="AI10233" s="55"/>
      <c r="AJ10233" s="55"/>
      <c r="AK10233" s="55"/>
      <c r="AL10233" s="55"/>
      <c r="AM10233" s="55"/>
      <c r="AN10233" s="55"/>
      <c r="AO10233" s="55"/>
      <c r="AY10233" s="55"/>
      <c r="BF10233" s="55"/>
      <c r="BG10233" s="55"/>
      <c r="BH10233" s="55"/>
      <c r="BI10233" s="55"/>
      <c r="BJ10233" s="55"/>
      <c r="BK10233" s="55"/>
      <c r="BL10233" s="55"/>
      <c r="BM10233" s="55"/>
      <c r="BV10233" s="55"/>
      <c r="BY10233" s="55"/>
      <c r="BZ10233" s="55"/>
      <c r="CD10233" s="55"/>
      <c r="CE10233" s="55"/>
      <c r="CF10233" s="55"/>
      <c r="CG10233" s="55"/>
      <c r="CH10233" s="55"/>
      <c r="CI10233" s="55"/>
      <c r="CJ10233" s="55"/>
      <c r="CX10233" s="55"/>
      <c r="DB10233" s="55"/>
      <c r="DC10233" s="55"/>
      <c r="DD10233" s="55"/>
      <c r="DE10233" s="55"/>
      <c r="DF10233" s="55"/>
      <c r="DG10233" s="55"/>
      <c r="DH10233" s="55"/>
      <c r="DV10233" s="55"/>
      <c r="DW10233" s="55"/>
      <c r="DX10233" s="55"/>
      <c r="DY10233" s="55"/>
      <c r="EU10233" s="55"/>
      <c r="EV10233" s="55"/>
      <c r="EW10233" s="55"/>
    </row>
    <row r="10235" spans="10:153" x14ac:dyDescent="0.2">
      <c r="J10235" s="55"/>
      <c r="K10235" s="55"/>
      <c r="L10235" s="55"/>
      <c r="AC10235" s="55"/>
      <c r="AD10235" s="55"/>
      <c r="BN10235" s="55"/>
      <c r="BV10235" s="55"/>
      <c r="BW10235" s="55"/>
      <c r="CW10235" s="55"/>
      <c r="DB10235" s="55"/>
      <c r="DC10235" s="55"/>
      <c r="DD10235" s="55"/>
      <c r="DE10235" s="55"/>
      <c r="DM10235" s="55"/>
      <c r="DU10235" s="55"/>
      <c r="DV10235" s="55"/>
      <c r="DZ10235" s="55"/>
      <c r="EA10235" s="55"/>
      <c r="EB10235" s="55"/>
      <c r="EC10235" s="55"/>
      <c r="EE10235" s="55"/>
      <c r="EG10235" s="55"/>
      <c r="ET10235" s="55"/>
      <c r="EU10235" s="55"/>
      <c r="EV10235" s="55"/>
      <c r="EW10235" s="55"/>
    </row>
    <row r="10237" spans="10:153" x14ac:dyDescent="0.2">
      <c r="J10237" s="55"/>
      <c r="K10237" s="55"/>
      <c r="AC10237" s="55"/>
      <c r="AD10237" s="55"/>
      <c r="AP10237" s="55"/>
      <c r="AV10237" s="55"/>
      <c r="AX10237" s="55"/>
      <c r="AY10237" s="55"/>
      <c r="AZ10237" s="55"/>
      <c r="BO10237" s="55"/>
      <c r="CW10237" s="55"/>
      <c r="CX10237" s="55"/>
      <c r="DB10237" s="55"/>
      <c r="DC10237" s="55"/>
      <c r="DD10237" s="55"/>
      <c r="DE10237" s="55"/>
      <c r="DF10237" s="55"/>
      <c r="DU10237" s="55"/>
      <c r="DV10237" s="55"/>
      <c r="DZ10237" s="55"/>
      <c r="EA10237" s="55"/>
      <c r="EB10237" s="55"/>
      <c r="EC10237" s="55"/>
      <c r="ED10237" s="55"/>
      <c r="EE10237" s="55"/>
      <c r="EF10237" s="55"/>
    </row>
    <row r="10238" spans="10:153" x14ac:dyDescent="0.2">
      <c r="R10238" s="55"/>
      <c r="AB10238" s="55"/>
      <c r="AR10238" s="55"/>
      <c r="AS10238" s="55"/>
      <c r="CQ10238" s="55"/>
      <c r="CV10238" s="55"/>
      <c r="EC10238" s="55"/>
      <c r="ES10238" s="55"/>
    </row>
    <row r="10240" spans="10:153" x14ac:dyDescent="0.2">
      <c r="J10240" s="55"/>
      <c r="K10240" s="55"/>
      <c r="L10240" s="55"/>
      <c r="M10240" s="55"/>
      <c r="N10240" s="55"/>
      <c r="O10240" s="55"/>
      <c r="P10240" s="55"/>
      <c r="AD10240" s="55"/>
      <c r="AH10240" s="55"/>
      <c r="AI10240" s="55"/>
      <c r="AJ10240" s="55"/>
      <c r="AK10240" s="55"/>
      <c r="AL10240" s="55"/>
      <c r="AM10240" s="55"/>
      <c r="AN10240" s="55"/>
      <c r="AO10240" s="55"/>
      <c r="AY10240" s="55"/>
      <c r="BF10240" s="55"/>
      <c r="BG10240" s="55"/>
      <c r="BH10240" s="55"/>
      <c r="BI10240" s="55"/>
      <c r="BJ10240" s="55"/>
      <c r="BK10240" s="55"/>
      <c r="BL10240" s="55"/>
      <c r="BM10240" s="55"/>
      <c r="BV10240" s="55"/>
      <c r="BY10240" s="55"/>
      <c r="BZ10240" s="55"/>
      <c r="CD10240" s="55"/>
      <c r="CE10240" s="55"/>
      <c r="CF10240" s="55"/>
      <c r="CG10240" s="55"/>
      <c r="CH10240" s="55"/>
      <c r="CI10240" s="55"/>
      <c r="CJ10240" s="55"/>
      <c r="CX10240" s="55"/>
      <c r="DB10240" s="55"/>
      <c r="DC10240" s="55"/>
      <c r="DD10240" s="55"/>
      <c r="DE10240" s="55"/>
      <c r="DF10240" s="55"/>
      <c r="DG10240" s="55"/>
      <c r="DH10240" s="55"/>
      <c r="DV10240" s="55"/>
      <c r="DW10240" s="55"/>
      <c r="DX10240" s="55"/>
      <c r="DY10240" s="55"/>
      <c r="EU10240" s="55"/>
      <c r="EV10240" s="55"/>
      <c r="EW10240" s="55"/>
    </row>
    <row r="10242" spans="10:153" x14ac:dyDescent="0.2">
      <c r="J10242" s="55"/>
      <c r="K10242" s="55"/>
      <c r="L10242" s="55"/>
      <c r="AC10242" s="55"/>
      <c r="AD10242" s="55"/>
      <c r="BN10242" s="55"/>
      <c r="BV10242" s="55"/>
      <c r="BW10242" s="55"/>
      <c r="CW10242" s="55"/>
      <c r="DB10242" s="55"/>
      <c r="DC10242" s="55"/>
      <c r="DD10242" s="55"/>
      <c r="DE10242" s="55"/>
      <c r="DM10242" s="55"/>
      <c r="DU10242" s="55"/>
      <c r="DV10242" s="55"/>
      <c r="DZ10242" s="55"/>
      <c r="EA10242" s="55"/>
      <c r="EB10242" s="55"/>
      <c r="EC10242" s="55"/>
      <c r="EE10242" s="55"/>
      <c r="EG10242" s="55"/>
      <c r="ET10242" s="55"/>
      <c r="EU10242" s="55"/>
      <c r="EV10242" s="55"/>
      <c r="EW10242" s="55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Table</vt:lpstr>
      <vt:lpstr>Lookups</vt:lpstr>
      <vt:lpstr>Data</vt:lpstr>
      <vt:lpstr>Bid</vt:lpstr>
      <vt:lpstr>Criteria</vt:lpstr>
      <vt:lpstr>data</vt:lpstr>
      <vt:lpstr>date</vt:lpstr>
      <vt:lpstr>date_list</vt:lpstr>
      <vt:lpstr>dual_enrol_list</vt:lpstr>
      <vt:lpstr>Enrolled</vt:lpstr>
      <vt:lpstr>ind_list</vt:lpstr>
      <vt:lpstr>lca</vt:lpstr>
      <vt:lpstr>lca_list</vt:lpstr>
      <vt:lpstr>pass</vt:lpstr>
      <vt:lpstr>Table!Print_Area</vt:lpstr>
      <vt:lpstr>Result_type</vt:lpstr>
      <vt:lpstr>Result_type_list</vt:lpstr>
      <vt:lpstr>Data!table_for_PGE_CBP_expost_private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Tim Huegerich</cp:lastModifiedBy>
  <cp:lastPrinted>2009-04-03T17:07:33Z</cp:lastPrinted>
  <dcterms:created xsi:type="dcterms:W3CDTF">2009-03-24T17:58:42Z</dcterms:created>
  <dcterms:modified xsi:type="dcterms:W3CDTF">2016-03-18T18:09:55Z</dcterms:modified>
</cp:coreProperties>
</file>